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480" yWindow="60" windowWidth="15195" windowHeight="11640" tabRatio="972" activeTab="0"/>
  </bookViews>
  <sheets>
    <sheet name="Auswahl" sheetId="1" r:id="rId1"/>
    <sheet name="2fl,m.ohne ST, ohne LM, OF" sheetId="2" r:id="rId2"/>
    <sheet name="2fl,m.ohne ST, ohne LM, UF" sheetId="3" r:id="rId3"/>
    <sheet name="2fl,m.ST, OF, o.OL." sheetId="4" r:id="rId4"/>
    <sheet name="2fl,m.ST, UF, o.OL." sheetId="5" r:id="rId5"/>
    <sheet name="2-fl,m.ST,OF,m.OL." sheetId="6" r:id="rId6"/>
    <sheet name="2-fl,m.ST,UF,m.OL." sheetId="7" r:id="rId7"/>
    <sheet name="1fl,m.ohne ST, ohne LM,OF" sheetId="8" r:id="rId8"/>
    <sheet name="1fl,m.ohne ST, ohne LM, UF" sheetId="9" r:id="rId9"/>
    <sheet name="1fl,m.ST, OF, o.OL." sheetId="10" r:id="rId10"/>
    <sheet name="1fl,m.ST, UF, o.OL." sheetId="11" r:id="rId11"/>
    <sheet name="1-fl,m.ST,OF,m.OL." sheetId="12" r:id="rId12"/>
    <sheet name="1-fl,m.ST,UF,m.OL." sheetId="13" r:id="rId13"/>
  </sheets>
  <definedNames>
    <definedName name="B_def">'Auswahl'!$F$85</definedName>
    <definedName name="B_L">'Auswahl'!$C$85</definedName>
    <definedName name="B_sel">'Auswahl'!$B$85</definedName>
    <definedName name="BOF">'Auswahl'!$B$76:$C$77</definedName>
    <definedName name="BOF_def">'Auswahl'!$F$76</definedName>
    <definedName name="BOF_L">'Auswahl'!$C$75</definedName>
    <definedName name="Calc_L">'Auswahl'!$C$92</definedName>
    <definedName name="Close_L">'Auswahl'!$C$89</definedName>
    <definedName name="Err_Konfig">'Auswahl'!$C$86</definedName>
    <definedName name="Err_Konfig_L">'Auswahl'!$C$87</definedName>
    <definedName name="F_Anz">'Auswahl'!$B$67:$C$68</definedName>
    <definedName name="F_Anz_def">'Auswahl'!$F$67</definedName>
    <definedName name="F_Anz_L">'Auswahl'!$C$66</definedName>
    <definedName name="F_Glas">'Auswahl'!$B$97:$H$100</definedName>
    <definedName name="Glas_Info">'Auswahl'!$C$104</definedName>
    <definedName name="Glas_L">'Auswahl'!$C$93</definedName>
    <definedName name="Glas_sel">'Auswahl'!$A$104</definedName>
    <definedName name="H_def">'Auswahl'!$F$84</definedName>
    <definedName name="H_L">'Auswahl'!$C$84</definedName>
    <definedName name="H_sel">'Auswahl'!$B$84</definedName>
    <definedName name="Konfig_L">'Auswahl'!$C$65</definedName>
    <definedName name="LH_def">'Auswahl'!$F$82</definedName>
    <definedName name="LH_L">'Auswahl'!$C$82</definedName>
    <definedName name="LH_sel">'Auswahl'!$B$82</definedName>
    <definedName name="LW_def">'Auswahl'!$F$83</definedName>
    <definedName name="LW_L">'Auswahl'!$C$83</definedName>
    <definedName name="LW_sel">'Auswahl'!$B$83</definedName>
    <definedName name="MA">'Auswahl'!$B$79:$C$80</definedName>
    <definedName name="MA_def">'Auswahl'!$F$79</definedName>
    <definedName name="MA_L">'Auswahl'!$C$78</definedName>
    <definedName name="Maße_L">'Auswahl'!$C$81</definedName>
    <definedName name="OL_Art">'Auswahl'!$B$73:$C$74</definedName>
    <definedName name="OL_Art_def">'Auswahl'!$F$73</definedName>
    <definedName name="OL_Art_L">'Auswahl'!$C$72</definedName>
    <definedName name="parameter">'Auswahl'!$A$58</definedName>
    <definedName name="Psi_Alu">'Auswahl'!$F$95</definedName>
    <definedName name="Psi_def">'Auswahl'!$F$91</definedName>
    <definedName name="Psi_L">'Auswahl'!$C$91</definedName>
    <definedName name="Psi_sel">'Auswahl'!$B$91</definedName>
    <definedName name="Psi_Warm">'Auswahl'!$F$94</definedName>
    <definedName name="Rev_Datum">'Auswahl'!$C$1</definedName>
    <definedName name="RV_Alu">'Auswahl'!$C$95</definedName>
    <definedName name="RV_sel">'Auswahl'!$B$104</definedName>
    <definedName name="RV_warm">'Auswahl'!$C$94</definedName>
    <definedName name="SE_Anz">'Auswahl'!$B$70:$C$71</definedName>
    <definedName name="SE_Anz_def">'Auswahl'!$F$70</definedName>
    <definedName name="SE_Anz_L">'Auswahl'!$C$69</definedName>
    <definedName name="Show_sel">'Auswahl'!$B$60</definedName>
    <definedName name="Sprache">'Auswahl'!$B$62:$C$63</definedName>
    <definedName name="Sprache_sel">'Auswahl'!$B$61</definedName>
    <definedName name="Titel_L">'Auswahl'!$C$64</definedName>
    <definedName name="UD_10">'1fl,m.ST, OF, o.OL.'!$C$31</definedName>
    <definedName name="UD_11">'1fl,m.ST, UF, o.OL.'!$C$31</definedName>
    <definedName name="UD_12">'1-fl,m.ST,OF,m.OL.'!$C$36</definedName>
    <definedName name="UD_13">'1-fl,m.ST,UF,m.OL.'!$C$36</definedName>
    <definedName name="UD_2">'2fl,m.ohne ST, ohne LM, OF'!$C$26</definedName>
    <definedName name="UD_3">'2fl,m.ohne ST, ohne LM, UF'!$C$26</definedName>
    <definedName name="UD_4">'2fl,m.ST, OF, o.OL.'!$C$31</definedName>
    <definedName name="UD_5">'2fl,m.ST, UF, o.OL.'!$C$31</definedName>
    <definedName name="UD_6">'2-fl,m.ST,OF,m.OL.'!$C$36</definedName>
    <definedName name="UD_7">'2-fl,m.ST,UF,m.OL.'!$C$36</definedName>
    <definedName name="UD_8">'1fl,m.ohne ST, ohne LM,OF'!$C$26</definedName>
    <definedName name="UD_9">'1fl,m.ohne ST, ohne LM, UF'!$C$26</definedName>
    <definedName name="UD_Result_L">'Auswahl'!$C$88</definedName>
    <definedName name="UG_def">'Auswahl'!$F$90</definedName>
    <definedName name="UG_L">'Auswahl'!$C$90</definedName>
    <definedName name="UG_sel">'Auswahl'!$B$90</definedName>
    <definedName name="Version">'Auswahl'!#REF!</definedName>
    <definedName name="Version_L">'Auswahl'!$A$1</definedName>
    <definedName name="_xlnm.Print_Area" localSheetId="8">'1fl,m.ohne ST, ohne LM, UF'!$A$1:$E$42</definedName>
    <definedName name="_xlnm.Print_Area" localSheetId="7">'1fl,m.ohne ST, ohne LM,OF'!$A$1:$E$42</definedName>
    <definedName name="_xlnm.Print_Area" localSheetId="9">'1fl,m.ST, OF, o.OL.'!$A$1:$E$44</definedName>
    <definedName name="_xlnm.Print_Area" localSheetId="10">'1fl,m.ST, UF, o.OL.'!$A$1:$E$44</definedName>
    <definedName name="_xlnm.Print_Area" localSheetId="11">'1-fl,m.ST,OF,m.OL.'!$A$1:$E$48</definedName>
    <definedName name="_xlnm.Print_Area" localSheetId="12">'1-fl,m.ST,UF,m.OL.'!$A$1:$E$48</definedName>
    <definedName name="_xlnm.Print_Area" localSheetId="1">'2fl,m.ohne ST, ohne LM, OF'!$A$1:$E$42</definedName>
    <definedName name="_xlnm.Print_Area" localSheetId="2">'2fl,m.ohne ST, ohne LM, UF'!$A$1:$E$42</definedName>
    <definedName name="_xlnm.Print_Area" localSheetId="3">'2fl,m.ST, OF, o.OL.'!$A$1:$E$44</definedName>
    <definedName name="_xlnm.Print_Area" localSheetId="4">'2fl,m.ST, UF, o.OL.'!$A$1:$E$44</definedName>
    <definedName name="_xlnm.Print_Area" localSheetId="5">'2-fl,m.ST,OF,m.OL.'!$A$1:$E$48</definedName>
    <definedName name="_xlnm.Print_Area" localSheetId="6">'2-fl,m.ST,UF,m.OL.'!$A$1:$E$48</definedName>
  </definedNames>
  <calcPr fullCalcOnLoad="1"/>
</workbook>
</file>

<file path=xl/comments1.xml><?xml version="1.0" encoding="utf-8"?>
<comments xmlns="http://schemas.openxmlformats.org/spreadsheetml/2006/main">
  <authors>
    <author>bonczekl</author>
  </authors>
  <commentList>
    <comment ref="F91" authorId="0">
      <text>
        <r>
          <rPr>
            <b/>
            <sz val="8"/>
            <rFont val="Tahoma"/>
            <family val="0"/>
          </rPr>
          <t>bonczekl:</t>
        </r>
        <r>
          <rPr>
            <sz val="8"/>
            <rFont val="Tahoma"/>
            <family val="0"/>
          </rPr>
          <t xml:space="preserve">
EN: 0,056</t>
        </r>
      </text>
    </comment>
  </commentList>
</comments>
</file>

<file path=xl/sharedStrings.xml><?xml version="1.0" encoding="utf-8"?>
<sst xmlns="http://schemas.openxmlformats.org/spreadsheetml/2006/main" count="631" uniqueCount="174">
  <si>
    <t>m²</t>
  </si>
  <si>
    <r>
      <t>A</t>
    </r>
    <r>
      <rPr>
        <sz val="10"/>
        <rFont val="Arial"/>
        <family val="0"/>
      </rPr>
      <t xml:space="preserve">ges x </t>
    </r>
    <r>
      <rPr>
        <b/>
        <sz val="10"/>
        <rFont val="Arial"/>
        <family val="2"/>
      </rPr>
      <t>U</t>
    </r>
    <r>
      <rPr>
        <sz val="10"/>
        <rFont val="Arial"/>
        <family val="0"/>
      </rPr>
      <t>fi</t>
    </r>
  </si>
  <si>
    <r>
      <t>U</t>
    </r>
    <r>
      <rPr>
        <sz val="10"/>
        <rFont val="Arial"/>
        <family val="0"/>
      </rPr>
      <t>f</t>
    </r>
  </si>
  <si>
    <r>
      <t xml:space="preserve">m² </t>
    </r>
    <r>
      <rPr>
        <sz val="10"/>
        <rFont val="Arial"/>
        <family val="0"/>
      </rPr>
      <t>Tür</t>
    </r>
  </si>
  <si>
    <t>Profile</t>
  </si>
  <si>
    <t>Glas</t>
  </si>
  <si>
    <t>m</t>
  </si>
  <si>
    <t>ψ</t>
  </si>
  <si>
    <r>
      <t>m</t>
    </r>
    <r>
      <rPr>
        <b/>
        <sz val="10"/>
        <rFont val="Arial"/>
        <family val="0"/>
      </rPr>
      <t xml:space="preserve"> Tür</t>
    </r>
  </si>
  <si>
    <r>
      <t>m²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Tür</t>
    </r>
  </si>
  <si>
    <r>
      <t>A</t>
    </r>
    <r>
      <rPr>
        <sz val="10"/>
        <rFont val="Arial"/>
        <family val="0"/>
      </rPr>
      <t xml:space="preserve">ges x </t>
    </r>
    <r>
      <rPr>
        <b/>
        <sz val="12"/>
        <rFont val="Arial"/>
        <family val="2"/>
      </rPr>
      <t>U</t>
    </r>
    <r>
      <rPr>
        <sz val="10"/>
        <rFont val="Arial"/>
        <family val="0"/>
      </rPr>
      <t>fi</t>
    </r>
  </si>
  <si>
    <r>
      <t>L</t>
    </r>
    <r>
      <rPr>
        <b/>
        <sz val="10"/>
        <rFont val="Arial"/>
        <family val="2"/>
      </rPr>
      <t>ges</t>
    </r>
    <r>
      <rPr>
        <b/>
        <sz val="12"/>
        <rFont val="Times New Roman"/>
        <family val="1"/>
      </rPr>
      <t xml:space="preserve"> x ψ</t>
    </r>
  </si>
  <si>
    <r>
      <t>U</t>
    </r>
    <r>
      <rPr>
        <sz val="10"/>
        <rFont val="Arial"/>
        <family val="0"/>
      </rPr>
      <t>g</t>
    </r>
  </si>
  <si>
    <t xml:space="preserve"> </t>
  </si>
  <si>
    <t>U-Wertberechnung für Kpl.-Tür 2-fl. mit Seitenteil ohne Oberlicht</t>
  </si>
  <si>
    <t>Berechnung durch:</t>
  </si>
  <si>
    <t>Datum:</t>
  </si>
  <si>
    <t>U-Wertberechnung für Kpl.-Tür 2-fl. mit Seitenteil mit Oberlicht</t>
  </si>
  <si>
    <t>LH  [Meter]</t>
  </si>
  <si>
    <t>H    [Meter]</t>
  </si>
  <si>
    <t>B    [Meter]</t>
  </si>
  <si>
    <r>
      <t>U</t>
    </r>
    <r>
      <rPr>
        <b/>
        <vertAlign val="subscript"/>
        <sz val="18"/>
        <rFont val="Arial"/>
        <family val="2"/>
      </rPr>
      <t>D</t>
    </r>
    <r>
      <rPr>
        <sz val="18"/>
        <rFont val="Arial"/>
        <family val="2"/>
      </rPr>
      <t xml:space="preserve"> =</t>
    </r>
  </si>
  <si>
    <t>P 1.1  Seitenteil</t>
  </si>
  <si>
    <t>P 1.1  Oberlicht waagerecht</t>
  </si>
  <si>
    <t>P 1.1  Oberlicht senkrecht</t>
  </si>
  <si>
    <t>P 2.2  Schließkante</t>
  </si>
  <si>
    <t>P 3.1  Seitenteilanschluss Boden</t>
  </si>
  <si>
    <t>P 4.1  Nebenschließkante</t>
  </si>
  <si>
    <t>P 7.2  Antrieb im Durchgangsbereich</t>
  </si>
  <si>
    <t>P 6.2  Fahrflügel unten</t>
  </si>
  <si>
    <t>P 5.2  Antrieb im Seitenteilbereich</t>
  </si>
  <si>
    <t>G1  Glasscheibe Oberlicht</t>
  </si>
  <si>
    <t>G2  Glasscheiben Seitenteil</t>
  </si>
  <si>
    <t>G3  Glasscheibe Fahrflügel</t>
  </si>
  <si>
    <t>Randverbund</t>
  </si>
  <si>
    <t>R1  Oberlicht waagerecht</t>
  </si>
  <si>
    <t>R2  Oberlicht senkrecht</t>
  </si>
  <si>
    <t xml:space="preserve">R3  Seitenteil waagerecht  </t>
  </si>
  <si>
    <t>R4  Fahrflügel waagerecht</t>
  </si>
  <si>
    <t>R5  Fahrflügel / Seitenteil senkrecht</t>
  </si>
  <si>
    <t xml:space="preserve">Bemerkung: </t>
  </si>
  <si>
    <t>Bemerkung:</t>
  </si>
  <si>
    <t>P 6.1  Fahrflügel unten</t>
  </si>
  <si>
    <t>P 5.1  Antrieb im Seitenteilbereich</t>
  </si>
  <si>
    <t>P 7.1  Antrieb im Durchgangsbereich</t>
  </si>
  <si>
    <t>U-Wertberechnung für Kpl.-Tür 2-fl. Ohne Seitenteile und LM-Träger</t>
  </si>
  <si>
    <t>P 4.2  Nebenschließkante</t>
  </si>
  <si>
    <t>P 7.3  Antrieb im Durchgangsbereich</t>
  </si>
  <si>
    <t>R5  Fahrflügel senkrecht</t>
  </si>
  <si>
    <t>ST FLEX Green</t>
  </si>
  <si>
    <t>P 5.1 Antrieb im Seitenteilbereich</t>
  </si>
  <si>
    <t>F_Anz</t>
  </si>
  <si>
    <t>SE_Anz</t>
  </si>
  <si>
    <t>2-flügelig</t>
  </si>
  <si>
    <t>ohne Seitenteile</t>
  </si>
  <si>
    <t>OL_Art</t>
  </si>
  <si>
    <t>ohne Oberlicht</t>
  </si>
  <si>
    <t>mit Oberlicht</t>
  </si>
  <si>
    <t>BOF</t>
  </si>
  <si>
    <t>Oberflur</t>
  </si>
  <si>
    <t>Unterflur</t>
  </si>
  <si>
    <t>MA</t>
  </si>
  <si>
    <t>mit Seitenteilen</t>
  </si>
  <si>
    <t>ohne LM-Träger</t>
  </si>
  <si>
    <t>mit LM-Träger</t>
  </si>
  <si>
    <t>Wert</t>
  </si>
  <si>
    <t>Bereich</t>
  </si>
  <si>
    <t>Text</t>
  </si>
  <si>
    <t>OF</t>
  </si>
  <si>
    <t>UF</t>
  </si>
  <si>
    <t>OLM</t>
  </si>
  <si>
    <t>MLM</t>
  </si>
  <si>
    <t>Text_DE</t>
  </si>
  <si>
    <t>Text_EN</t>
  </si>
  <si>
    <t>without sidescreens</t>
  </si>
  <si>
    <t>with sidescreens</t>
  </si>
  <si>
    <t>without fanlight</t>
  </si>
  <si>
    <t>with fanlight</t>
  </si>
  <si>
    <t>surface-mounted</t>
  </si>
  <si>
    <t>underfloor-mounted</t>
  </si>
  <si>
    <t>without LM-girder</t>
  </si>
  <si>
    <t>with LM-girder</t>
  </si>
  <si>
    <t>Türflügel</t>
  </si>
  <si>
    <t>Door leaves</t>
  </si>
  <si>
    <t>Sprache</t>
  </si>
  <si>
    <t>DE</t>
  </si>
  <si>
    <t>EN</t>
  </si>
  <si>
    <t>deutsch</t>
  </si>
  <si>
    <t>German</t>
  </si>
  <si>
    <t>englisch</t>
  </si>
  <si>
    <t>English</t>
  </si>
  <si>
    <t>Seitenteile</t>
  </si>
  <si>
    <t>Sidescreens</t>
  </si>
  <si>
    <t>Oberlicht</t>
  </si>
  <si>
    <t>Fanlight</t>
  </si>
  <si>
    <t>MA_L</t>
  </si>
  <si>
    <t>F_Anz_L</t>
  </si>
  <si>
    <t>SE_Anz_L</t>
  </si>
  <si>
    <t>OL_Art_L</t>
  </si>
  <si>
    <t>Montageart</t>
  </si>
  <si>
    <t>Installation variant</t>
  </si>
  <si>
    <t>BOF_L</t>
  </si>
  <si>
    <t>Bodenführung</t>
  </si>
  <si>
    <t>Floor Guide</t>
  </si>
  <si>
    <t>Calc_L</t>
  </si>
  <si>
    <t>Titel_L</t>
  </si>
  <si>
    <t>ST FLEX Green UD-Wert Berechnung</t>
  </si>
  <si>
    <t>ST FLEX Green UD-Value Calculation</t>
  </si>
  <si>
    <t>Für diese Konfiguration gibt es kein Berechnungsblatt!</t>
  </si>
  <si>
    <t>Err_Konfig</t>
  </si>
  <si>
    <t>Konfigurationsfehler</t>
  </si>
  <si>
    <t>Err_Konfig_L</t>
  </si>
  <si>
    <t>LW [Meter]</t>
  </si>
  <si>
    <t>Sprache_sel</t>
  </si>
  <si>
    <t>Öffnungsweite LW</t>
  </si>
  <si>
    <t>Durchgangshöhe LH</t>
  </si>
  <si>
    <t>Gesamtbreite B</t>
  </si>
  <si>
    <t>Gesamthöhe H</t>
  </si>
  <si>
    <t>Height H</t>
  </si>
  <si>
    <t>Maße_L</t>
  </si>
  <si>
    <t>UG_sel</t>
  </si>
  <si>
    <t>LH_sel</t>
  </si>
  <si>
    <t>LW_sel</t>
  </si>
  <si>
    <t>H_sel</t>
  </si>
  <si>
    <t>B_sel</t>
  </si>
  <si>
    <t>UG</t>
  </si>
  <si>
    <t>Psi_sel</t>
  </si>
  <si>
    <t>Show_sel</t>
  </si>
  <si>
    <t>DU_Result_L</t>
  </si>
  <si>
    <t>UD-Wert:</t>
  </si>
  <si>
    <t>Invalid Configuration</t>
  </si>
  <si>
    <t>Glas_L</t>
  </si>
  <si>
    <t>UD-Value:</t>
  </si>
  <si>
    <t>Berechnen...</t>
  </si>
  <si>
    <t>Calculate...</t>
  </si>
  <si>
    <t>Konfig_L</t>
  </si>
  <si>
    <t>Ausführung der Schiebetür</t>
  </si>
  <si>
    <t>Configuration of Sliding Door</t>
  </si>
  <si>
    <t>Default</t>
  </si>
  <si>
    <t>2 leaves</t>
  </si>
  <si>
    <t>No calculation available for this configuration!</t>
  </si>
  <si>
    <t>Close_L</t>
  </si>
  <si>
    <t>Beenden</t>
  </si>
  <si>
    <t>Exit</t>
  </si>
  <si>
    <t>Grüner Bereich: Sprachen / Vorgaben bearbeiten</t>
  </si>
  <si>
    <t>Clear Height LH</t>
  </si>
  <si>
    <t>Clear Width LW</t>
  </si>
  <si>
    <t>Width B</t>
  </si>
  <si>
    <t>U-Wertberechnung für Kpl.-Tür 1-fl. mit Seitenteil ohne Oberlicht</t>
  </si>
  <si>
    <t>U-Wertberechnung für Kpl.-Tür 1-fl. mit Seitenteil mit Oberlicht</t>
  </si>
  <si>
    <t>P 2.1  Schließkante</t>
  </si>
  <si>
    <t>U-Wertberechnung für Kpl.-Tür 1-fl. Ohne Seitenteile und LM-Träger</t>
  </si>
  <si>
    <t>1-flügelig</t>
  </si>
  <si>
    <t>1 leave</t>
  </si>
  <si>
    <t>DORMA Automatic</t>
  </si>
  <si>
    <t>Ausführung mit Oberflurführung</t>
  </si>
  <si>
    <t>Ausführung mit Unterflurführung</t>
  </si>
  <si>
    <t>Abmessungen (mm)</t>
  </si>
  <si>
    <t>Dimensions (mm)</t>
  </si>
  <si>
    <t>F_Glas</t>
  </si>
  <si>
    <t>Psi</t>
  </si>
  <si>
    <t>Warme Kante</t>
  </si>
  <si>
    <t>Warm Edge</t>
  </si>
  <si>
    <t>RV_warm</t>
  </si>
  <si>
    <t>RV_Alu</t>
  </si>
  <si>
    <t>Aluminiumsteg</t>
  </si>
  <si>
    <t>Bezeichnung</t>
  </si>
  <si>
    <t>Description</t>
  </si>
  <si>
    <t>Aluminium joint</t>
  </si>
  <si>
    <t>Verglasung</t>
  </si>
  <si>
    <t>Glazing</t>
  </si>
  <si>
    <t xml:space="preserve">UD-Tool </t>
  </si>
  <si>
    <t>Rev</t>
  </si>
  <si>
    <t>Insulated glass 28 mm (2x LSG 6 mm)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</si>
</sst>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00000000"/>
    <numFmt numFmtId="175" formatCode="0.00000000"/>
    <numFmt numFmtId="176" formatCode="0.0&quot; W/m²K&quot;"/>
    <numFmt numFmtId="177" formatCode="0&quot; W/m²K&quot;"/>
    <numFmt numFmtId="178" formatCode="0.00&quot; W/m²K&quot;"/>
    <numFmt numFmtId="179" formatCode="0.000&quot; W/m²K&quot;"/>
    <numFmt numFmtId="180" formatCode="0.0000&quot; W/m²K&quot;"/>
    <numFmt numFmtId="181" formatCode="0.00&quot; m&quot;"/>
    <numFmt numFmtId="182" formatCode="0.000&quot; m&quot;"/>
    <numFmt numFmtId="183" formatCode="0.00000&quot; W/m²K&quot;"/>
    <numFmt numFmtId="184" formatCode="[$-407]dddd\,\ d\.\ mmmm\ yyyy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0"/>
    </font>
    <font>
      <b/>
      <vertAlign val="subscript"/>
      <sz val="18"/>
      <name val="Arial"/>
      <family val="2"/>
    </font>
    <font>
      <b/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44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0" fillId="34" borderId="11" xfId="0" applyFill="1" applyBorder="1" applyAlignment="1">
      <alignment/>
    </xf>
    <xf numFmtId="168" fontId="0" fillId="34" borderId="10" xfId="0" applyNumberFormat="1" applyFont="1" applyFill="1" applyBorder="1" applyAlignment="1">
      <alignment/>
    </xf>
    <xf numFmtId="168" fontId="0" fillId="34" borderId="10" xfId="0" applyNumberFormat="1" applyFill="1" applyBorder="1" applyAlignment="1">
      <alignment/>
    </xf>
    <xf numFmtId="169" fontId="0" fillId="34" borderId="10" xfId="0" applyNumberFormat="1" applyFill="1" applyBorder="1" applyAlignment="1">
      <alignment/>
    </xf>
    <xf numFmtId="168" fontId="0" fillId="34" borderId="14" xfId="0" applyNumberFormat="1" applyFill="1" applyBorder="1" applyAlignment="1">
      <alignment horizontal="right"/>
    </xf>
    <xf numFmtId="168" fontId="2" fillId="34" borderId="10" xfId="0" applyNumberFormat="1" applyFont="1" applyFill="1" applyBorder="1" applyAlignment="1">
      <alignment/>
    </xf>
    <xf numFmtId="168" fontId="2" fillId="34" borderId="14" xfId="0" applyNumberFormat="1" applyFont="1" applyFill="1" applyBorder="1" applyAlignment="1">
      <alignment/>
    </xf>
    <xf numFmtId="168" fontId="0" fillId="34" borderId="10" xfId="0" applyNumberFormat="1" applyFill="1" applyBorder="1" applyAlignment="1">
      <alignment horizontal="right"/>
    </xf>
    <xf numFmtId="168" fontId="0" fillId="34" borderId="14" xfId="0" applyNumberFormat="1" applyFill="1" applyBorder="1" applyAlignment="1">
      <alignment/>
    </xf>
    <xf numFmtId="168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4" fillId="34" borderId="21" xfId="0" applyFont="1" applyFill="1" applyBorder="1" applyAlignment="1" applyProtection="1">
      <alignment vertical="center" wrapText="1"/>
      <protection/>
    </xf>
    <xf numFmtId="0" fontId="9" fillId="34" borderId="22" xfId="0" applyFont="1" applyFill="1" applyBorder="1" applyAlignment="1" applyProtection="1">
      <alignment vertical="center" wrapText="1"/>
      <protection/>
    </xf>
    <xf numFmtId="0" fontId="9" fillId="34" borderId="23" xfId="0" applyFont="1" applyFill="1" applyBorder="1" applyAlignment="1" applyProtection="1">
      <alignment vertical="center" wrapText="1"/>
      <protection/>
    </xf>
    <xf numFmtId="0" fontId="0" fillId="34" borderId="0" xfId="0" applyFill="1" applyAlignment="1">
      <alignment/>
    </xf>
    <xf numFmtId="0" fontId="9" fillId="34" borderId="0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9" fillId="34" borderId="13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168" fontId="0" fillId="34" borderId="0" xfId="0" applyNumberFormat="1" applyFill="1" applyBorder="1" applyAlignment="1">
      <alignment/>
    </xf>
    <xf numFmtId="168" fontId="4" fillId="33" borderId="1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176" fontId="7" fillId="34" borderId="0" xfId="0" applyNumberFormat="1" applyFont="1" applyFill="1" applyBorder="1" applyAlignment="1" applyProtection="1">
      <alignment horizontal="center"/>
      <protection locked="0"/>
    </xf>
    <xf numFmtId="0" fontId="4" fillId="34" borderId="12" xfId="0" applyFont="1" applyFill="1" applyBorder="1" applyAlignment="1">
      <alignment/>
    </xf>
    <xf numFmtId="168" fontId="0" fillId="34" borderId="13" xfId="0" applyNumberFormat="1" applyFill="1" applyBorder="1" applyAlignment="1">
      <alignment/>
    </xf>
    <xf numFmtId="168" fontId="2" fillId="33" borderId="14" xfId="0" applyNumberFormat="1" applyFont="1" applyFill="1" applyBorder="1" applyAlignment="1">
      <alignment horizontal="center"/>
    </xf>
    <xf numFmtId="168" fontId="4" fillId="33" borderId="14" xfId="0" applyNumberFormat="1" applyFont="1" applyFill="1" applyBorder="1" applyAlignment="1">
      <alignment/>
    </xf>
    <xf numFmtId="168" fontId="2" fillId="34" borderId="0" xfId="0" applyNumberFormat="1" applyFont="1" applyFill="1" applyBorder="1" applyAlignment="1">
      <alignment/>
    </xf>
    <xf numFmtId="168" fontId="2" fillId="34" borderId="13" xfId="0" applyNumberFormat="1" applyFon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176" fontId="7" fillId="34" borderId="0" xfId="0" applyNumberFormat="1" applyFont="1" applyFill="1" applyBorder="1" applyAlignment="1" applyProtection="1">
      <alignment horizontal="center"/>
      <protection/>
    </xf>
    <xf numFmtId="179" fontId="7" fillId="34" borderId="0" xfId="0" applyNumberFormat="1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"/>
      <protection/>
    </xf>
    <xf numFmtId="176" fontId="0" fillId="0" borderId="0" xfId="0" applyNumberFormat="1" applyAlignment="1">
      <alignment/>
    </xf>
    <xf numFmtId="0" fontId="1" fillId="0" borderId="0" xfId="0" applyFont="1" applyFill="1" applyAlignment="1">
      <alignment vertical="top" wrapText="1"/>
    </xf>
    <xf numFmtId="0" fontId="1" fillId="36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" fillId="37" borderId="0" xfId="0" applyFont="1" applyFill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 vertical="top" wrapText="1"/>
      <protection locked="0"/>
    </xf>
    <xf numFmtId="0" fontId="1" fillId="36" borderId="0" xfId="0" applyFont="1" applyFill="1" applyAlignment="1" applyProtection="1">
      <alignment vertical="top" wrapText="1"/>
      <protection locked="0"/>
    </xf>
    <xf numFmtId="169" fontId="1" fillId="36" borderId="0" xfId="0" applyNumberFormat="1" applyFont="1" applyFill="1" applyAlignment="1" applyProtection="1">
      <alignment vertical="top" wrapText="1"/>
      <protection locked="0"/>
    </xf>
    <xf numFmtId="0" fontId="0" fillId="34" borderId="0" xfId="0" applyFill="1" applyAlignment="1">
      <alignment vertical="top"/>
    </xf>
    <xf numFmtId="0" fontId="11" fillId="34" borderId="0" xfId="0" applyFont="1" applyFill="1" applyAlignment="1">
      <alignment vertical="top"/>
    </xf>
    <xf numFmtId="0" fontId="0" fillId="0" borderId="0" xfId="0" applyAlignment="1">
      <alignment vertical="top"/>
    </xf>
    <xf numFmtId="0" fontId="1" fillId="33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0" fillId="36" borderId="0" xfId="0" applyFill="1" applyAlignment="1" applyProtection="1">
      <alignment vertical="top"/>
      <protection locked="0"/>
    </xf>
    <xf numFmtId="0" fontId="0" fillId="36" borderId="0" xfId="0" applyFill="1" applyAlignment="1">
      <alignment vertical="top"/>
    </xf>
    <xf numFmtId="0" fontId="0" fillId="34" borderId="0" xfId="0" applyFill="1" applyAlignment="1" applyProtection="1">
      <alignment vertical="top"/>
      <protection locked="0"/>
    </xf>
    <xf numFmtId="182" fontId="2" fillId="38" borderId="26" xfId="0" applyNumberFormat="1" applyFont="1" applyFill="1" applyBorder="1" applyAlignment="1" applyProtection="1">
      <alignment vertical="center"/>
      <protection/>
    </xf>
    <xf numFmtId="169" fontId="2" fillId="38" borderId="27" xfId="0" applyNumberFormat="1" applyFont="1" applyFill="1" applyBorder="1" applyAlignment="1" applyProtection="1">
      <alignment horizontal="center" vertical="center"/>
      <protection/>
    </xf>
    <xf numFmtId="0" fontId="2" fillId="38" borderId="27" xfId="0" applyFont="1" applyFill="1" applyBorder="1" applyAlignment="1" applyProtection="1">
      <alignment horizontal="center" vertical="center"/>
      <protection/>
    </xf>
    <xf numFmtId="182" fontId="2" fillId="38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Border="1" applyAlignment="1">
      <alignment/>
    </xf>
    <xf numFmtId="0" fontId="0" fillId="33" borderId="17" xfId="0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0" fontId="1" fillId="33" borderId="0" xfId="0" applyFont="1" applyFill="1" applyAlignment="1">
      <alignment vertical="top" wrapText="1"/>
    </xf>
    <xf numFmtId="0" fontId="1" fillId="37" borderId="0" xfId="0" applyFont="1" applyFill="1" applyAlignment="1" applyProtection="1">
      <alignment vertical="top"/>
      <protection locked="0"/>
    </xf>
    <xf numFmtId="0" fontId="1" fillId="36" borderId="0" xfId="0" applyFont="1" applyFill="1" applyAlignment="1">
      <alignment vertical="top"/>
    </xf>
    <xf numFmtId="14" fontId="2" fillId="38" borderId="29" xfId="0" applyNumberFormat="1" applyFont="1" applyFill="1" applyBorder="1" applyAlignment="1" applyProtection="1">
      <alignment horizontal="center"/>
      <protection/>
    </xf>
    <xf numFmtId="169" fontId="1" fillId="38" borderId="0" xfId="0" applyNumberFormat="1" applyFont="1" applyFill="1" applyAlignment="1" applyProtection="1">
      <alignment vertical="top" wrapText="1"/>
      <protection locked="0"/>
    </xf>
    <xf numFmtId="0" fontId="1" fillId="38" borderId="0" xfId="0" applyFont="1" applyFill="1" applyAlignment="1" applyProtection="1">
      <alignment vertical="top" wrapText="1"/>
      <protection locked="0"/>
    </xf>
    <xf numFmtId="0" fontId="4" fillId="34" borderId="0" xfId="0" applyFont="1" applyFill="1" applyAlignment="1">
      <alignment vertical="top"/>
    </xf>
    <xf numFmtId="0" fontId="1" fillId="34" borderId="0" xfId="0" applyFont="1" applyFill="1" applyAlignment="1">
      <alignment horizontal="right" vertical="top"/>
    </xf>
    <xf numFmtId="14" fontId="1" fillId="34" borderId="0" xfId="0" applyNumberFormat="1" applyFont="1" applyFill="1" applyAlignment="1">
      <alignment horizontal="left" vertical="top"/>
    </xf>
    <xf numFmtId="0" fontId="4" fillId="38" borderId="30" xfId="0" applyFont="1" applyFill="1" applyBorder="1" applyAlignment="1" applyProtection="1">
      <alignment horizontal="center" vertical="center" wrapText="1"/>
      <protection/>
    </xf>
    <xf numFmtId="0" fontId="4" fillId="38" borderId="31" xfId="0" applyFont="1" applyFill="1" applyBorder="1" applyAlignment="1" applyProtection="1">
      <alignment horizontal="center" vertical="center" wrapText="1"/>
      <protection/>
    </xf>
    <xf numFmtId="0" fontId="4" fillId="38" borderId="32" xfId="0" applyFont="1" applyFill="1" applyBorder="1" applyAlignment="1" applyProtection="1">
      <alignment horizontal="center" vertical="center" wrapText="1"/>
      <protection/>
    </xf>
    <xf numFmtId="0" fontId="4" fillId="38" borderId="12" xfId="0" applyFont="1" applyFill="1" applyBorder="1" applyAlignment="1" applyProtection="1">
      <alignment horizontal="center" vertical="center" wrapText="1"/>
      <protection/>
    </xf>
    <xf numFmtId="0" fontId="4" fillId="38" borderId="0" xfId="0" applyFont="1" applyFill="1" applyBorder="1" applyAlignment="1" applyProtection="1">
      <alignment horizontal="center" vertical="center" wrapText="1"/>
      <protection/>
    </xf>
    <xf numFmtId="0" fontId="4" fillId="38" borderId="13" xfId="0" applyFont="1" applyFill="1" applyBorder="1" applyAlignment="1" applyProtection="1">
      <alignment horizontal="center" vertical="center" wrapText="1"/>
      <protection/>
    </xf>
    <xf numFmtId="0" fontId="4" fillId="38" borderId="21" xfId="0" applyFont="1" applyFill="1" applyBorder="1" applyAlignment="1" applyProtection="1">
      <alignment horizontal="center" vertical="center" wrapText="1"/>
      <protection/>
    </xf>
    <xf numFmtId="0" fontId="4" fillId="38" borderId="22" xfId="0" applyFont="1" applyFill="1" applyBorder="1" applyAlignment="1" applyProtection="1">
      <alignment horizontal="center" vertical="center" wrapText="1"/>
      <protection/>
    </xf>
    <xf numFmtId="0" fontId="4" fillId="38" borderId="23" xfId="0" applyFont="1" applyFill="1" applyBorder="1" applyAlignment="1" applyProtection="1">
      <alignment horizontal="center" vertical="center" wrapText="1"/>
      <protection/>
    </xf>
    <xf numFmtId="0" fontId="2" fillId="38" borderId="33" xfId="0" applyFont="1" applyFill="1" applyBorder="1" applyAlignment="1" applyProtection="1">
      <alignment horizontal="center"/>
      <protection locked="0"/>
    </xf>
    <xf numFmtId="0" fontId="0" fillId="0" borderId="34" xfId="0" applyBorder="1" applyAlignment="1">
      <alignment/>
    </xf>
    <xf numFmtId="176" fontId="7" fillId="35" borderId="35" xfId="0" applyNumberFormat="1" applyFont="1" applyFill="1" applyBorder="1" applyAlignment="1" applyProtection="1">
      <alignment horizontal="center"/>
      <protection/>
    </xf>
    <xf numFmtId="176" fontId="7" fillId="35" borderId="36" xfId="0" applyNumberFormat="1" applyFont="1" applyFill="1" applyBorder="1" applyAlignment="1" applyProtection="1">
      <alignment horizontal="center"/>
      <protection/>
    </xf>
    <xf numFmtId="0" fontId="7" fillId="33" borderId="37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41" xfId="0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7.png" /><Relationship Id="rId3" Type="http://schemas.openxmlformats.org/officeDocument/2006/relationships/image" Target="../media/image1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4.emf" /><Relationship Id="rId3" Type="http://schemas.openxmlformats.org/officeDocument/2006/relationships/image" Target="../media/image16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15.emf" /><Relationship Id="rId3" Type="http://schemas.openxmlformats.org/officeDocument/2006/relationships/image" Target="../media/image7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11.emf" /><Relationship Id="rId3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1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8.emf" /><Relationship Id="rId3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3.emf" /><Relationship Id="rId3" Type="http://schemas.openxmlformats.org/officeDocument/2006/relationships/image" Target="../media/image2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5.emf" /><Relationship Id="rId3" Type="http://schemas.openxmlformats.org/officeDocument/2006/relationships/image" Target="../media/image1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0.emf" /><Relationship Id="rId3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4.emf" /><Relationship Id="rId3" Type="http://schemas.openxmlformats.org/officeDocument/2006/relationships/image" Target="../media/image10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6.emf" /><Relationship Id="rId3" Type="http://schemas.openxmlformats.org/officeDocument/2006/relationships/image" Target="../media/image1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17.emf" /><Relationship Id="rId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11</xdr:col>
      <xdr:colOff>66675</xdr:colOff>
      <xdr:row>35</xdr:row>
      <xdr:rowOff>95250</xdr:rowOff>
    </xdr:to>
    <xdr:pic macro="[0]!Home">
      <xdr:nvPicPr>
        <xdr:cNvPr id="1" name="Picture 2" descr="Automatic Schiebetüranl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8582025" cy="5438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9</xdr:col>
      <xdr:colOff>333375</xdr:colOff>
      <xdr:row>0</xdr:row>
      <xdr:rowOff>38100</xdr:rowOff>
    </xdr:from>
    <xdr:to>
      <xdr:col>10</xdr:col>
      <xdr:colOff>638175</xdr:colOff>
      <xdr:row>1</xdr:row>
      <xdr:rowOff>200025</xdr:rowOff>
    </xdr:to>
    <xdr:pic macro="[0]!Home">
      <xdr:nvPicPr>
        <xdr:cNvPr id="2" name="Picture 1" descr="DOLO_2CP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86675" y="38100"/>
          <a:ext cx="704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31</xdr:row>
      <xdr:rowOff>9525</xdr:rowOff>
    </xdr:from>
    <xdr:to>
      <xdr:col>10</xdr:col>
      <xdr:colOff>542925</xdr:colOff>
      <xdr:row>33</xdr:row>
      <xdr:rowOff>57150</xdr:rowOff>
    </xdr:to>
    <xdr:pic>
      <xdr:nvPicPr>
        <xdr:cNvPr id="3" name="Close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51625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4</xdr:row>
      <xdr:rowOff>0</xdr:rowOff>
    </xdr:from>
    <xdr:to>
      <xdr:col>0</xdr:col>
      <xdr:colOff>1666875</xdr:colOff>
      <xdr:row>7</xdr:row>
      <xdr:rowOff>142875</xdr:rowOff>
    </xdr:to>
    <xdr:pic>
      <xdr:nvPicPr>
        <xdr:cNvPr id="1" name="Picture 1" descr="DOLO_2CP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" y="885825"/>
          <a:ext cx="1276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533400</xdr:colOff>
      <xdr:row>1</xdr:row>
      <xdr:rowOff>57150</xdr:rowOff>
    </xdr:to>
    <xdr:pic>
      <xdr:nvPicPr>
        <xdr:cNvPr id="2" name="Hom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0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</xdr:row>
      <xdr:rowOff>47625</xdr:rowOff>
    </xdr:from>
    <xdr:to>
      <xdr:col>6</xdr:col>
      <xdr:colOff>542925</xdr:colOff>
      <xdr:row>2</xdr:row>
      <xdr:rowOff>200025</xdr:rowOff>
    </xdr:to>
    <xdr:pic>
      <xdr:nvPicPr>
        <xdr:cNvPr id="3" name="Print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342900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4</xdr:row>
      <xdr:rowOff>0</xdr:rowOff>
    </xdr:from>
    <xdr:to>
      <xdr:col>0</xdr:col>
      <xdr:colOff>1666875</xdr:colOff>
      <xdr:row>7</xdr:row>
      <xdr:rowOff>142875</xdr:rowOff>
    </xdr:to>
    <xdr:pic>
      <xdr:nvPicPr>
        <xdr:cNvPr id="1" name="Picture 1" descr="DOLO_2CP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" y="885825"/>
          <a:ext cx="1276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533400</xdr:colOff>
      <xdr:row>1</xdr:row>
      <xdr:rowOff>57150</xdr:rowOff>
    </xdr:to>
    <xdr:pic>
      <xdr:nvPicPr>
        <xdr:cNvPr id="2" name="Hom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0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</xdr:row>
      <xdr:rowOff>47625</xdr:rowOff>
    </xdr:from>
    <xdr:to>
      <xdr:col>6</xdr:col>
      <xdr:colOff>542925</xdr:colOff>
      <xdr:row>2</xdr:row>
      <xdr:rowOff>200025</xdr:rowOff>
    </xdr:to>
    <xdr:pic>
      <xdr:nvPicPr>
        <xdr:cNvPr id="3" name="Print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342900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</xdr:row>
      <xdr:rowOff>28575</xdr:rowOff>
    </xdr:from>
    <xdr:to>
      <xdr:col>0</xdr:col>
      <xdr:colOff>1619250</xdr:colOff>
      <xdr:row>7</xdr:row>
      <xdr:rowOff>142875</xdr:rowOff>
    </xdr:to>
    <xdr:pic>
      <xdr:nvPicPr>
        <xdr:cNvPr id="1" name="Picture 1" descr="DOLO_2CP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2900" y="904875"/>
          <a:ext cx="1276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533400</xdr:colOff>
      <xdr:row>1</xdr:row>
      <xdr:rowOff>57150</xdr:rowOff>
    </xdr:to>
    <xdr:pic>
      <xdr:nvPicPr>
        <xdr:cNvPr id="2" name="Hom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0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</xdr:row>
      <xdr:rowOff>47625</xdr:rowOff>
    </xdr:from>
    <xdr:to>
      <xdr:col>6</xdr:col>
      <xdr:colOff>542925</xdr:colOff>
      <xdr:row>2</xdr:row>
      <xdr:rowOff>200025</xdr:rowOff>
    </xdr:to>
    <xdr:pic>
      <xdr:nvPicPr>
        <xdr:cNvPr id="3" name="Print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342900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</xdr:row>
      <xdr:rowOff>28575</xdr:rowOff>
    </xdr:from>
    <xdr:to>
      <xdr:col>0</xdr:col>
      <xdr:colOff>1619250</xdr:colOff>
      <xdr:row>7</xdr:row>
      <xdr:rowOff>142875</xdr:rowOff>
    </xdr:to>
    <xdr:pic>
      <xdr:nvPicPr>
        <xdr:cNvPr id="1" name="Picture 1" descr="DOLO_2CP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2900" y="904875"/>
          <a:ext cx="1276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533400</xdr:colOff>
      <xdr:row>1</xdr:row>
      <xdr:rowOff>57150</xdr:rowOff>
    </xdr:to>
    <xdr:pic>
      <xdr:nvPicPr>
        <xdr:cNvPr id="2" name="Hom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0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</xdr:row>
      <xdr:rowOff>47625</xdr:rowOff>
    </xdr:from>
    <xdr:to>
      <xdr:col>6</xdr:col>
      <xdr:colOff>542925</xdr:colOff>
      <xdr:row>2</xdr:row>
      <xdr:rowOff>200025</xdr:rowOff>
    </xdr:to>
    <xdr:pic>
      <xdr:nvPicPr>
        <xdr:cNvPr id="3" name="Print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342900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4</xdr:row>
      <xdr:rowOff>19050</xdr:rowOff>
    </xdr:from>
    <xdr:to>
      <xdr:col>0</xdr:col>
      <xdr:colOff>1666875</xdr:colOff>
      <xdr:row>7</xdr:row>
      <xdr:rowOff>161925</xdr:rowOff>
    </xdr:to>
    <xdr:pic>
      <xdr:nvPicPr>
        <xdr:cNvPr id="1" name="Picture 1" descr="DOLO_2CP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" y="904875"/>
          <a:ext cx="1276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533400</xdr:colOff>
      <xdr:row>1</xdr:row>
      <xdr:rowOff>57150</xdr:rowOff>
    </xdr:to>
    <xdr:pic>
      <xdr:nvPicPr>
        <xdr:cNvPr id="2" name="Hom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0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</xdr:row>
      <xdr:rowOff>47625</xdr:rowOff>
    </xdr:from>
    <xdr:to>
      <xdr:col>6</xdr:col>
      <xdr:colOff>542925</xdr:colOff>
      <xdr:row>2</xdr:row>
      <xdr:rowOff>200025</xdr:rowOff>
    </xdr:to>
    <xdr:pic>
      <xdr:nvPicPr>
        <xdr:cNvPr id="3" name="Print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342900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4</xdr:row>
      <xdr:rowOff>19050</xdr:rowOff>
    </xdr:from>
    <xdr:to>
      <xdr:col>0</xdr:col>
      <xdr:colOff>1666875</xdr:colOff>
      <xdr:row>7</xdr:row>
      <xdr:rowOff>161925</xdr:rowOff>
    </xdr:to>
    <xdr:pic>
      <xdr:nvPicPr>
        <xdr:cNvPr id="1" name="Picture 1" descr="DOLO_2CP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" y="904875"/>
          <a:ext cx="1276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533400</xdr:colOff>
      <xdr:row>1</xdr:row>
      <xdr:rowOff>57150</xdr:rowOff>
    </xdr:to>
    <xdr:pic>
      <xdr:nvPicPr>
        <xdr:cNvPr id="2" name="Hom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0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</xdr:row>
      <xdr:rowOff>47625</xdr:rowOff>
    </xdr:from>
    <xdr:to>
      <xdr:col>6</xdr:col>
      <xdr:colOff>542925</xdr:colOff>
      <xdr:row>2</xdr:row>
      <xdr:rowOff>200025</xdr:rowOff>
    </xdr:to>
    <xdr:pic>
      <xdr:nvPicPr>
        <xdr:cNvPr id="3" name="Print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342900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4</xdr:row>
      <xdr:rowOff>0</xdr:rowOff>
    </xdr:from>
    <xdr:to>
      <xdr:col>0</xdr:col>
      <xdr:colOff>1666875</xdr:colOff>
      <xdr:row>7</xdr:row>
      <xdr:rowOff>142875</xdr:rowOff>
    </xdr:to>
    <xdr:pic>
      <xdr:nvPicPr>
        <xdr:cNvPr id="1" name="Picture 1" descr="DOLO_2CP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" y="885825"/>
          <a:ext cx="1276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533400</xdr:colOff>
      <xdr:row>1</xdr:row>
      <xdr:rowOff>57150</xdr:rowOff>
    </xdr:to>
    <xdr:pic>
      <xdr:nvPicPr>
        <xdr:cNvPr id="2" name="Hom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0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</xdr:row>
      <xdr:rowOff>47625</xdr:rowOff>
    </xdr:from>
    <xdr:to>
      <xdr:col>6</xdr:col>
      <xdr:colOff>542925</xdr:colOff>
      <xdr:row>2</xdr:row>
      <xdr:rowOff>200025</xdr:rowOff>
    </xdr:to>
    <xdr:pic>
      <xdr:nvPicPr>
        <xdr:cNvPr id="3" name="Print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342900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4</xdr:row>
      <xdr:rowOff>19050</xdr:rowOff>
    </xdr:from>
    <xdr:to>
      <xdr:col>0</xdr:col>
      <xdr:colOff>1666875</xdr:colOff>
      <xdr:row>7</xdr:row>
      <xdr:rowOff>161925</xdr:rowOff>
    </xdr:to>
    <xdr:pic>
      <xdr:nvPicPr>
        <xdr:cNvPr id="1" name="Picture 1" descr="DOLO_2CP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" y="904875"/>
          <a:ext cx="1276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533400</xdr:colOff>
      <xdr:row>1</xdr:row>
      <xdr:rowOff>57150</xdr:rowOff>
    </xdr:to>
    <xdr:pic>
      <xdr:nvPicPr>
        <xdr:cNvPr id="2" name="Hom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0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</xdr:row>
      <xdr:rowOff>47625</xdr:rowOff>
    </xdr:from>
    <xdr:to>
      <xdr:col>6</xdr:col>
      <xdr:colOff>542925</xdr:colOff>
      <xdr:row>2</xdr:row>
      <xdr:rowOff>200025</xdr:rowOff>
    </xdr:to>
    <xdr:pic>
      <xdr:nvPicPr>
        <xdr:cNvPr id="3" name="Print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342900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</xdr:row>
      <xdr:rowOff>28575</xdr:rowOff>
    </xdr:from>
    <xdr:to>
      <xdr:col>0</xdr:col>
      <xdr:colOff>1619250</xdr:colOff>
      <xdr:row>7</xdr:row>
      <xdr:rowOff>142875</xdr:rowOff>
    </xdr:to>
    <xdr:pic>
      <xdr:nvPicPr>
        <xdr:cNvPr id="1" name="Picture 1" descr="DOLO_2CP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2900" y="904875"/>
          <a:ext cx="1276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533400</xdr:colOff>
      <xdr:row>1</xdr:row>
      <xdr:rowOff>57150</xdr:rowOff>
    </xdr:to>
    <xdr:pic>
      <xdr:nvPicPr>
        <xdr:cNvPr id="2" name="Hom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0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</xdr:row>
      <xdr:rowOff>47625</xdr:rowOff>
    </xdr:from>
    <xdr:to>
      <xdr:col>6</xdr:col>
      <xdr:colOff>542925</xdr:colOff>
      <xdr:row>2</xdr:row>
      <xdr:rowOff>200025</xdr:rowOff>
    </xdr:to>
    <xdr:pic>
      <xdr:nvPicPr>
        <xdr:cNvPr id="3" name="Print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342900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</xdr:row>
      <xdr:rowOff>28575</xdr:rowOff>
    </xdr:from>
    <xdr:to>
      <xdr:col>0</xdr:col>
      <xdr:colOff>1619250</xdr:colOff>
      <xdr:row>7</xdr:row>
      <xdr:rowOff>142875</xdr:rowOff>
    </xdr:to>
    <xdr:pic>
      <xdr:nvPicPr>
        <xdr:cNvPr id="1" name="Picture 1" descr="DOLO_2CP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2900" y="904875"/>
          <a:ext cx="1276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533400</xdr:colOff>
      <xdr:row>1</xdr:row>
      <xdr:rowOff>57150</xdr:rowOff>
    </xdr:to>
    <xdr:pic>
      <xdr:nvPicPr>
        <xdr:cNvPr id="2" name="Hom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0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</xdr:row>
      <xdr:rowOff>47625</xdr:rowOff>
    </xdr:from>
    <xdr:to>
      <xdr:col>6</xdr:col>
      <xdr:colOff>542925</xdr:colOff>
      <xdr:row>2</xdr:row>
      <xdr:rowOff>200025</xdr:rowOff>
    </xdr:to>
    <xdr:pic>
      <xdr:nvPicPr>
        <xdr:cNvPr id="3" name="Print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342900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4</xdr:row>
      <xdr:rowOff>19050</xdr:rowOff>
    </xdr:from>
    <xdr:to>
      <xdr:col>0</xdr:col>
      <xdr:colOff>1666875</xdr:colOff>
      <xdr:row>7</xdr:row>
      <xdr:rowOff>161925</xdr:rowOff>
    </xdr:to>
    <xdr:pic>
      <xdr:nvPicPr>
        <xdr:cNvPr id="1" name="Picture 1" descr="DOLO_2CP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" y="904875"/>
          <a:ext cx="1276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533400</xdr:colOff>
      <xdr:row>1</xdr:row>
      <xdr:rowOff>57150</xdr:rowOff>
    </xdr:to>
    <xdr:pic>
      <xdr:nvPicPr>
        <xdr:cNvPr id="2" name="Hom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0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</xdr:row>
      <xdr:rowOff>47625</xdr:rowOff>
    </xdr:from>
    <xdr:to>
      <xdr:col>6</xdr:col>
      <xdr:colOff>542925</xdr:colOff>
      <xdr:row>2</xdr:row>
      <xdr:rowOff>200025</xdr:rowOff>
    </xdr:to>
    <xdr:pic>
      <xdr:nvPicPr>
        <xdr:cNvPr id="3" name="Print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342900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4</xdr:row>
      <xdr:rowOff>19050</xdr:rowOff>
    </xdr:from>
    <xdr:to>
      <xdr:col>0</xdr:col>
      <xdr:colOff>1666875</xdr:colOff>
      <xdr:row>7</xdr:row>
      <xdr:rowOff>161925</xdr:rowOff>
    </xdr:to>
    <xdr:pic>
      <xdr:nvPicPr>
        <xdr:cNvPr id="1" name="Picture 1" descr="DOLO_2CP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" y="904875"/>
          <a:ext cx="1276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533400</xdr:colOff>
      <xdr:row>1</xdr:row>
      <xdr:rowOff>57150</xdr:rowOff>
    </xdr:to>
    <xdr:pic>
      <xdr:nvPicPr>
        <xdr:cNvPr id="2" name="Hom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0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</xdr:row>
      <xdr:rowOff>47625</xdr:rowOff>
    </xdr:from>
    <xdr:to>
      <xdr:col>6</xdr:col>
      <xdr:colOff>542925</xdr:colOff>
      <xdr:row>2</xdr:row>
      <xdr:rowOff>200025</xdr:rowOff>
    </xdr:to>
    <xdr:pic>
      <xdr:nvPicPr>
        <xdr:cNvPr id="3" name="Print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342900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01"/>
  <dimension ref="A1:I104"/>
  <sheetViews>
    <sheetView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2.57421875" style="64" customWidth="1"/>
    <col min="2" max="2" width="11.421875" style="64" customWidth="1"/>
    <col min="3" max="3" width="18.57421875" style="64" customWidth="1"/>
    <col min="4" max="4" width="17.421875" style="64" customWidth="1"/>
    <col min="5" max="5" width="15.28125" style="64" customWidth="1"/>
    <col min="6" max="6" width="5.57421875" style="64" customWidth="1"/>
    <col min="7" max="8" width="11.421875" style="64" customWidth="1"/>
    <col min="9" max="9" width="6.57421875" style="64" customWidth="1"/>
    <col min="10" max="10" width="6.00390625" style="64" customWidth="1"/>
    <col min="11" max="16384" width="11.421875" style="64" customWidth="1"/>
  </cols>
  <sheetData>
    <row r="1" spans="1:3" ht="15.75">
      <c r="A1" s="86" t="s">
        <v>171</v>
      </c>
      <c r="B1" s="87" t="s">
        <v>172</v>
      </c>
      <c r="C1" s="88">
        <v>40690</v>
      </c>
    </row>
    <row r="2" ht="20.25">
      <c r="D2" s="65" t="str">
        <f>Titel_L</f>
        <v>ST FLEX Green UD-Value Calculation</v>
      </c>
    </row>
    <row r="3" ht="12.75">
      <c r="A3" s="66"/>
    </row>
    <row r="4" ht="12.75">
      <c r="A4" s="71"/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spans="1:4" s="70" customFormat="1" ht="12.75">
      <c r="A58" s="69"/>
      <c r="D58" s="70" t="s">
        <v>144</v>
      </c>
    </row>
    <row r="59" spans="1:8" s="68" customFormat="1" ht="11.25">
      <c r="A59" s="67" t="s">
        <v>66</v>
      </c>
      <c r="B59" s="67" t="s">
        <v>65</v>
      </c>
      <c r="C59" s="67" t="s">
        <v>67</v>
      </c>
      <c r="D59" s="67" t="s">
        <v>72</v>
      </c>
      <c r="E59" s="67" t="s">
        <v>73</v>
      </c>
      <c r="F59" s="67" t="s">
        <v>138</v>
      </c>
      <c r="G59" s="67"/>
      <c r="H59" s="67"/>
    </row>
    <row r="60" spans="1:2" s="68" customFormat="1" ht="11.25">
      <c r="A60" s="57" t="s">
        <v>127</v>
      </c>
      <c r="B60" s="60" t="b">
        <v>0</v>
      </c>
    </row>
    <row r="61" spans="1:2" s="68" customFormat="1" ht="11.25">
      <c r="A61" s="57" t="s">
        <v>113</v>
      </c>
      <c r="B61" s="60" t="s">
        <v>86</v>
      </c>
    </row>
    <row r="62" spans="1:5" s="57" customFormat="1" ht="11.25">
      <c r="A62" s="57" t="s">
        <v>84</v>
      </c>
      <c r="B62" s="57" t="s">
        <v>85</v>
      </c>
      <c r="C62" s="57" t="str">
        <f>IF(Sprache_sel="DE",D62,E62)</f>
        <v>German</v>
      </c>
      <c r="D62" s="58" t="s">
        <v>87</v>
      </c>
      <c r="E62" s="58" t="s">
        <v>88</v>
      </c>
    </row>
    <row r="63" spans="2:5" s="57" customFormat="1" ht="11.25">
      <c r="B63" s="57" t="s">
        <v>86</v>
      </c>
      <c r="C63" s="57" t="str">
        <f>IF(Sprache_sel="DE",D63,E63)</f>
        <v>English</v>
      </c>
      <c r="D63" s="58" t="s">
        <v>89</v>
      </c>
      <c r="E63" s="58" t="s">
        <v>90</v>
      </c>
    </row>
    <row r="64" spans="1:5" s="57" customFormat="1" ht="33.75">
      <c r="A64" s="57" t="s">
        <v>105</v>
      </c>
      <c r="C64" s="57" t="str">
        <f>IF(Sprache_sel="DE",D64,E64)</f>
        <v>ST FLEX Green UD-Value Calculation</v>
      </c>
      <c r="D64" s="58" t="s">
        <v>106</v>
      </c>
      <c r="E64" s="58" t="s">
        <v>107</v>
      </c>
    </row>
    <row r="65" spans="1:5" s="59" customFormat="1" ht="22.5">
      <c r="A65" s="57" t="s">
        <v>135</v>
      </c>
      <c r="C65" s="57" t="str">
        <f>IF(Sprache_sel="DE",D65,E65)</f>
        <v>Configuration of Sliding Door</v>
      </c>
      <c r="D65" s="58" t="s">
        <v>136</v>
      </c>
      <c r="E65" s="58" t="s">
        <v>137</v>
      </c>
    </row>
    <row r="66" spans="1:5" s="57" customFormat="1" ht="11.25">
      <c r="A66" s="57" t="s">
        <v>96</v>
      </c>
      <c r="C66" s="57" t="str">
        <f>IF(Sprache_sel="DE",D66,E66)</f>
        <v>Door leaves</v>
      </c>
      <c r="D66" s="58" t="s">
        <v>82</v>
      </c>
      <c r="E66" s="58" t="s">
        <v>83</v>
      </c>
    </row>
    <row r="67" spans="1:6" s="57" customFormat="1" ht="11.25">
      <c r="A67" s="57" t="s">
        <v>51</v>
      </c>
      <c r="B67" s="57">
        <v>2</v>
      </c>
      <c r="C67" s="57" t="str">
        <f aca="true" t="shared" si="0" ref="C67:C89">IF(Sprache_sel="DE",D67,E67)</f>
        <v>2 leaves</v>
      </c>
      <c r="D67" s="58" t="s">
        <v>53</v>
      </c>
      <c r="E67" s="58" t="s">
        <v>139</v>
      </c>
      <c r="F67" s="58">
        <v>2</v>
      </c>
    </row>
    <row r="68" spans="2:5" s="57" customFormat="1" ht="11.25">
      <c r="B68" s="57">
        <v>1</v>
      </c>
      <c r="C68" s="57" t="str">
        <f>IF(Sprache_sel="DE",D68,E68)</f>
        <v>1 leave</v>
      </c>
      <c r="D68" s="58" t="s">
        <v>152</v>
      </c>
      <c r="E68" s="58" t="s">
        <v>153</v>
      </c>
    </row>
    <row r="69" spans="1:5" s="57" customFormat="1" ht="11.25">
      <c r="A69" s="57" t="s">
        <v>97</v>
      </c>
      <c r="C69" s="57" t="str">
        <f>IF(Sprache_sel="DE",D69,E69)</f>
        <v>Sidescreens</v>
      </c>
      <c r="D69" s="58" t="s">
        <v>91</v>
      </c>
      <c r="E69" s="58" t="s">
        <v>92</v>
      </c>
    </row>
    <row r="70" spans="1:6" s="57" customFormat="1" ht="22.5">
      <c r="A70" s="57" t="s">
        <v>52</v>
      </c>
      <c r="B70" s="57">
        <v>0</v>
      </c>
      <c r="C70" s="57" t="str">
        <f t="shared" si="0"/>
        <v>without sidescreens</v>
      </c>
      <c r="D70" s="58" t="s">
        <v>54</v>
      </c>
      <c r="E70" s="58" t="s">
        <v>74</v>
      </c>
      <c r="F70" s="58">
        <v>0</v>
      </c>
    </row>
    <row r="71" spans="2:5" s="57" customFormat="1" ht="11.25">
      <c r="B71" s="57">
        <v>2</v>
      </c>
      <c r="C71" s="57" t="str">
        <f t="shared" si="0"/>
        <v>with sidescreens</v>
      </c>
      <c r="D71" s="58" t="s">
        <v>62</v>
      </c>
      <c r="E71" s="58" t="s">
        <v>75</v>
      </c>
    </row>
    <row r="72" spans="1:5" s="57" customFormat="1" ht="11.25">
      <c r="A72" s="57" t="s">
        <v>98</v>
      </c>
      <c r="C72" s="57" t="str">
        <f>IF(Sprache_sel="DE",D72,E72)</f>
        <v>Fanlight</v>
      </c>
      <c r="D72" s="58" t="s">
        <v>93</v>
      </c>
      <c r="E72" s="58" t="s">
        <v>94</v>
      </c>
    </row>
    <row r="73" spans="1:6" s="57" customFormat="1" ht="11.25">
      <c r="A73" s="57" t="s">
        <v>55</v>
      </c>
      <c r="B73" s="57">
        <v>0</v>
      </c>
      <c r="C73" s="57" t="str">
        <f t="shared" si="0"/>
        <v>without fanlight</v>
      </c>
      <c r="D73" s="58" t="s">
        <v>56</v>
      </c>
      <c r="E73" s="58" t="s">
        <v>76</v>
      </c>
      <c r="F73" s="58">
        <v>0</v>
      </c>
    </row>
    <row r="74" spans="2:5" s="57" customFormat="1" ht="11.25">
      <c r="B74" s="57">
        <v>1</v>
      </c>
      <c r="C74" s="57" t="str">
        <f t="shared" si="0"/>
        <v>with fanlight</v>
      </c>
      <c r="D74" s="58" t="s">
        <v>57</v>
      </c>
      <c r="E74" s="58" t="s">
        <v>77</v>
      </c>
    </row>
    <row r="75" spans="1:5" s="57" customFormat="1" ht="11.25">
      <c r="A75" s="57" t="s">
        <v>101</v>
      </c>
      <c r="C75" s="57" t="str">
        <f>IF(Sprache_sel="DE",D75,E75)</f>
        <v>Floor Guide</v>
      </c>
      <c r="D75" s="58" t="s">
        <v>102</v>
      </c>
      <c r="E75" s="58" t="s">
        <v>103</v>
      </c>
    </row>
    <row r="76" spans="1:6" s="57" customFormat="1" ht="11.25">
      <c r="A76" s="57" t="s">
        <v>58</v>
      </c>
      <c r="B76" s="57" t="s">
        <v>68</v>
      </c>
      <c r="C76" s="57" t="str">
        <f t="shared" si="0"/>
        <v>surface-mounted</v>
      </c>
      <c r="D76" s="58" t="s">
        <v>59</v>
      </c>
      <c r="E76" s="58" t="s">
        <v>78</v>
      </c>
      <c r="F76" s="58" t="s">
        <v>68</v>
      </c>
    </row>
    <row r="77" spans="2:5" s="57" customFormat="1" ht="22.5">
      <c r="B77" s="57" t="s">
        <v>69</v>
      </c>
      <c r="C77" s="57" t="str">
        <f t="shared" si="0"/>
        <v>underfloor-mounted</v>
      </c>
      <c r="D77" s="58" t="s">
        <v>60</v>
      </c>
      <c r="E77" s="58" t="s">
        <v>79</v>
      </c>
    </row>
    <row r="78" spans="1:5" s="57" customFormat="1" ht="22.5">
      <c r="A78" s="57" t="s">
        <v>95</v>
      </c>
      <c r="C78" s="57" t="str">
        <f>IF(Sprache_sel="DE",D78,E78)</f>
        <v>Installation variant</v>
      </c>
      <c r="D78" s="58" t="s">
        <v>99</v>
      </c>
      <c r="E78" s="58" t="s">
        <v>100</v>
      </c>
    </row>
    <row r="79" spans="1:6" s="57" customFormat="1" ht="11.25">
      <c r="A79" s="57" t="s">
        <v>61</v>
      </c>
      <c r="B79" s="57" t="s">
        <v>70</v>
      </c>
      <c r="C79" s="57" t="str">
        <f t="shared" si="0"/>
        <v>without LM-girder</v>
      </c>
      <c r="D79" s="58" t="s">
        <v>63</v>
      </c>
      <c r="E79" s="58" t="s">
        <v>80</v>
      </c>
      <c r="F79" s="58" t="s">
        <v>70</v>
      </c>
    </row>
    <row r="80" spans="2:5" s="57" customFormat="1" ht="11.25">
      <c r="B80" s="57" t="s">
        <v>71</v>
      </c>
      <c r="C80" s="57" t="str">
        <f t="shared" si="0"/>
        <v>with LM-girder</v>
      </c>
      <c r="D80" s="58" t="s">
        <v>64</v>
      </c>
      <c r="E80" s="58" t="s">
        <v>81</v>
      </c>
    </row>
    <row r="81" spans="1:5" s="57" customFormat="1" ht="11.25">
      <c r="A81" s="57" t="s">
        <v>119</v>
      </c>
      <c r="B81" s="61"/>
      <c r="C81" s="57" t="str">
        <f>IF(Sprache_sel="DE",D81,E81)</f>
        <v>Dimensions (mm)</v>
      </c>
      <c r="D81" s="58" t="s">
        <v>157</v>
      </c>
      <c r="E81" s="58" t="s">
        <v>158</v>
      </c>
    </row>
    <row r="82" spans="1:6" s="57" customFormat="1" ht="11.25">
      <c r="A82" s="57" t="s">
        <v>121</v>
      </c>
      <c r="B82" s="61">
        <v>2000</v>
      </c>
      <c r="C82" s="57" t="str">
        <f>IF(Sprache_sel="DE",D82,E82)</f>
        <v>Clear Height LH</v>
      </c>
      <c r="D82" s="58" t="s">
        <v>115</v>
      </c>
      <c r="E82" s="58" t="s">
        <v>145</v>
      </c>
      <c r="F82" s="62">
        <v>2100</v>
      </c>
    </row>
    <row r="83" spans="1:6" s="57" customFormat="1" ht="11.25">
      <c r="A83" s="57" t="s">
        <v>122</v>
      </c>
      <c r="B83" s="61">
        <v>1100</v>
      </c>
      <c r="C83" s="57" t="str">
        <f>IF(Sprache_sel="DE",D83,E83)</f>
        <v>Clear Width LW</v>
      </c>
      <c r="D83" s="58" t="s">
        <v>114</v>
      </c>
      <c r="E83" s="58" t="s">
        <v>146</v>
      </c>
      <c r="F83" s="62">
        <v>1000</v>
      </c>
    </row>
    <row r="84" spans="1:6" s="57" customFormat="1" ht="11.25">
      <c r="A84" s="57" t="s">
        <v>123</v>
      </c>
      <c r="B84" s="61">
        <v>3000</v>
      </c>
      <c r="C84" s="57" t="str">
        <f>IF(Sprache_sel="DE",D84,E84)</f>
        <v>Height H</v>
      </c>
      <c r="D84" s="58" t="s">
        <v>117</v>
      </c>
      <c r="E84" s="58" t="s">
        <v>118</v>
      </c>
      <c r="F84" s="62">
        <v>3000</v>
      </c>
    </row>
    <row r="85" spans="1:6" s="57" customFormat="1" ht="11.25">
      <c r="A85" s="57" t="s">
        <v>124</v>
      </c>
      <c r="B85" s="61">
        <v>5800</v>
      </c>
      <c r="C85" s="57" t="str">
        <f>IF(Sprache_sel="DE",D85,E85)</f>
        <v>Width B</v>
      </c>
      <c r="D85" s="58" t="s">
        <v>116</v>
      </c>
      <c r="E85" s="58" t="s">
        <v>147</v>
      </c>
      <c r="F85" s="62">
        <v>5800</v>
      </c>
    </row>
    <row r="86" spans="1:5" s="57" customFormat="1" ht="45">
      <c r="A86" s="57" t="s">
        <v>109</v>
      </c>
      <c r="C86" s="57" t="str">
        <f t="shared" si="0"/>
        <v>No calculation available for this configuration!</v>
      </c>
      <c r="D86" s="58" t="s">
        <v>108</v>
      </c>
      <c r="E86" s="58" t="s">
        <v>140</v>
      </c>
    </row>
    <row r="87" spans="1:5" s="57" customFormat="1" ht="22.5">
      <c r="A87" s="57" t="s">
        <v>111</v>
      </c>
      <c r="C87" s="57" t="str">
        <f t="shared" si="0"/>
        <v>Invalid Configuration</v>
      </c>
      <c r="D87" s="58" t="s">
        <v>110</v>
      </c>
      <c r="E87" s="58" t="s">
        <v>130</v>
      </c>
    </row>
    <row r="88" spans="1:5" s="57" customFormat="1" ht="11.25">
      <c r="A88" s="57" t="s">
        <v>128</v>
      </c>
      <c r="C88" s="57" t="str">
        <f t="shared" si="0"/>
        <v>UD-Value:</v>
      </c>
      <c r="D88" s="58" t="s">
        <v>129</v>
      </c>
      <c r="E88" s="58" t="s">
        <v>132</v>
      </c>
    </row>
    <row r="89" spans="1:5" s="57" customFormat="1" ht="11.25">
      <c r="A89" s="57" t="s">
        <v>141</v>
      </c>
      <c r="C89" s="57" t="str">
        <f t="shared" si="0"/>
        <v>Exit</v>
      </c>
      <c r="D89" s="58" t="s">
        <v>142</v>
      </c>
      <c r="E89" s="58" t="s">
        <v>143</v>
      </c>
    </row>
    <row r="90" spans="1:6" s="57" customFormat="1" ht="11.25">
      <c r="A90" s="57" t="s">
        <v>120</v>
      </c>
      <c r="B90" s="84">
        <v>1</v>
      </c>
      <c r="C90" s="57" t="str">
        <f>IF(Sprache_sel="DE",D90,E90)</f>
        <v>UG</v>
      </c>
      <c r="D90" s="58" t="s">
        <v>125</v>
      </c>
      <c r="E90" s="58" t="s">
        <v>125</v>
      </c>
      <c r="F90" s="63">
        <v>1</v>
      </c>
    </row>
    <row r="91" spans="1:6" s="57" customFormat="1" ht="11.25">
      <c r="A91" s="57" t="s">
        <v>126</v>
      </c>
      <c r="B91" s="85">
        <v>0.051</v>
      </c>
      <c r="C91" s="57" t="str">
        <f>IF(Sprache_sel="DE",D91,E91)</f>
        <v>ψ</v>
      </c>
      <c r="D91" s="58" t="s">
        <v>7</v>
      </c>
      <c r="E91" s="58" t="s">
        <v>7</v>
      </c>
      <c r="F91" s="58">
        <v>0.051</v>
      </c>
    </row>
    <row r="92" spans="1:5" s="57" customFormat="1" ht="11.25">
      <c r="A92" s="57" t="s">
        <v>104</v>
      </c>
      <c r="C92" s="57" t="str">
        <f>IF(Sprache_sel="DE",D92,E92)</f>
        <v>Calculate...</v>
      </c>
      <c r="D92" s="58" t="s">
        <v>133</v>
      </c>
      <c r="E92" s="58" t="s">
        <v>134</v>
      </c>
    </row>
    <row r="93" spans="1:5" s="57" customFormat="1" ht="11.25">
      <c r="A93" s="57" t="s">
        <v>131</v>
      </c>
      <c r="C93" s="57" t="str">
        <f>IF(Sprache_sel="DE",D93,E93)&amp;" ("&amp;RV_sel&amp;")"</f>
        <v>Glazing (Warm Edge)</v>
      </c>
      <c r="D93" s="58" t="s">
        <v>169</v>
      </c>
      <c r="E93" s="58" t="s">
        <v>170</v>
      </c>
    </row>
    <row r="94" spans="1:6" s="57" customFormat="1" ht="11.25">
      <c r="A94" s="57" t="s">
        <v>163</v>
      </c>
      <c r="C94" s="57" t="str">
        <f aca="true" t="shared" si="1" ref="C94:C104">IF(Sprache_sel="DE",D94,E94)</f>
        <v>Warm Edge</v>
      </c>
      <c r="D94" s="58" t="s">
        <v>161</v>
      </c>
      <c r="E94" s="58" t="s">
        <v>162</v>
      </c>
      <c r="F94" s="57">
        <v>0.051</v>
      </c>
    </row>
    <row r="95" spans="1:6" s="57" customFormat="1" ht="11.25">
      <c r="A95" s="57" t="s">
        <v>164</v>
      </c>
      <c r="C95" s="57" t="str">
        <f t="shared" si="1"/>
        <v>Aluminium joint</v>
      </c>
      <c r="D95" s="58" t="s">
        <v>165</v>
      </c>
      <c r="E95" s="58" t="s">
        <v>168</v>
      </c>
      <c r="F95" s="57">
        <v>0.111</v>
      </c>
    </row>
    <row r="96" spans="1:8" s="80" customFormat="1" ht="22.5">
      <c r="A96" s="80" t="s">
        <v>159</v>
      </c>
      <c r="B96" s="80">
        <v>0</v>
      </c>
      <c r="C96" s="80" t="str">
        <f t="shared" si="1"/>
        <v>Description</v>
      </c>
      <c r="D96" s="80" t="s">
        <v>166</v>
      </c>
      <c r="E96" s="80" t="s">
        <v>167</v>
      </c>
      <c r="F96" s="80" t="str">
        <f>IF(Sprache_sel="DE","Randverbund","Separator")</f>
        <v>Separator</v>
      </c>
      <c r="G96" s="80" t="s">
        <v>125</v>
      </c>
      <c r="H96" s="80" t="s">
        <v>160</v>
      </c>
    </row>
    <row r="97" spans="2:8" s="57" customFormat="1" ht="22.5">
      <c r="B97" s="57">
        <v>1</v>
      </c>
      <c r="C97" s="57" t="str">
        <f t="shared" si="1"/>
        <v>Insulated glass 28 mm (2x LSG 6 mm)</v>
      </c>
      <c r="D97" s="58" t="str">
        <f>"ISO 28 mm aus 2x6mm VSG"</f>
        <v>ISO 28 mm aus 2x6mm VSG</v>
      </c>
      <c r="E97" s="58" t="str">
        <f>"Insulated glass 28 mm (2x LSG 6 mm)"</f>
        <v>Insulated glass 28 mm (2x LSG 6 mm)</v>
      </c>
      <c r="F97" s="57" t="str">
        <f>RV_warm</f>
        <v>Warm Edge</v>
      </c>
      <c r="G97" s="57">
        <v>1</v>
      </c>
      <c r="H97" s="57">
        <f>Psi_Warm</f>
        <v>0.051</v>
      </c>
    </row>
    <row r="98" spans="2:9" s="68" customFormat="1" ht="22.5">
      <c r="B98" s="68">
        <v>2</v>
      </c>
      <c r="C98" s="68" t="str">
        <f>IF(Sprache_sel="DE",D98,E98)</f>
        <v>Insulated glass 28 mm (2x LSG 6 mm)</v>
      </c>
      <c r="D98" s="58" t="str">
        <f>"ISO 28 mm aus 2x6mm VSG"</f>
        <v>ISO 28 mm aus 2x6mm VSG</v>
      </c>
      <c r="E98" s="58" t="str">
        <f>"Insulated glass 28 mm (2x LSG 6 mm)"</f>
        <v>Insulated glass 28 mm (2x LSG 6 mm)</v>
      </c>
      <c r="F98" s="68" t="str">
        <f>RV_Alu</f>
        <v>Aluminium joint</v>
      </c>
      <c r="G98" s="68">
        <v>3</v>
      </c>
      <c r="H98" s="68">
        <f>Psi_Alu</f>
        <v>0.111</v>
      </c>
      <c r="I98" s="57"/>
    </row>
    <row r="99" spans="2:9" s="68" customFormat="1" ht="22.5">
      <c r="B99" s="68">
        <v>3</v>
      </c>
      <c r="C99" s="68" t="str">
        <f>IF(Sprache_sel="DE",D99,E99)</f>
        <v>Insulated glass 28 mm (2x TSG 6 mm)</v>
      </c>
      <c r="D99" s="58" t="str">
        <f>"ISO 28 mm aus 2x6mm ESG"</f>
        <v>ISO 28 mm aus 2x6mm ESG</v>
      </c>
      <c r="E99" s="58" t="str">
        <f>"Insulated glass 28 mm (2x TSG 6 mm)"</f>
        <v>Insulated glass 28 mm (2x TSG 6 mm)</v>
      </c>
      <c r="F99" s="57" t="str">
        <f>RV_warm</f>
        <v>Warm Edge</v>
      </c>
      <c r="G99" s="68">
        <v>1</v>
      </c>
      <c r="H99" s="57">
        <f>Psi_Warm</f>
        <v>0.051</v>
      </c>
      <c r="I99" s="57"/>
    </row>
    <row r="100" spans="2:9" s="68" customFormat="1" ht="22.5">
      <c r="B100" s="68">
        <v>4</v>
      </c>
      <c r="C100" s="68" t="str">
        <f t="shared" si="1"/>
        <v>Insulated glass 28 mm (2x TSG 5 mm)</v>
      </c>
      <c r="D100" s="58" t="str">
        <f>"ISO 28 mm aus 2x5mm ESG"</f>
        <v>ISO 28 mm aus 2x5mm ESG</v>
      </c>
      <c r="E100" s="58" t="str">
        <f>"Insulated glass 28 mm (2x TSG 5 mm)"</f>
        <v>Insulated glass 28 mm (2x TSG 5 mm)</v>
      </c>
      <c r="F100" s="68" t="str">
        <f>RV_Alu</f>
        <v>Aluminium joint</v>
      </c>
      <c r="G100" s="68">
        <v>3</v>
      </c>
      <c r="H100" s="68">
        <f>Psi_Alu</f>
        <v>0.111</v>
      </c>
      <c r="I100" s="57"/>
    </row>
    <row r="101" spans="2:8" s="68" customFormat="1" ht="11.25">
      <c r="B101" s="68">
        <v>5</v>
      </c>
      <c r="C101" s="68" t="str">
        <f t="shared" si="1"/>
        <v>Glass 5</v>
      </c>
      <c r="D101" s="58" t="str">
        <f>"Glas 5"</f>
        <v>Glas 5</v>
      </c>
      <c r="E101" s="58" t="str">
        <f>"Glass 5"</f>
        <v>Glass 5</v>
      </c>
      <c r="F101" s="57"/>
      <c r="H101" s="57"/>
    </row>
    <row r="102" spans="2:5" s="68" customFormat="1" ht="11.25">
      <c r="B102" s="68">
        <v>6</v>
      </c>
      <c r="C102" s="68" t="str">
        <f t="shared" si="1"/>
        <v>Glass 6</v>
      </c>
      <c r="D102" s="58" t="str">
        <f>"Glas 6"</f>
        <v>Glas 6</v>
      </c>
      <c r="E102" s="58" t="str">
        <f>"Glass 6"</f>
        <v>Glass 6</v>
      </c>
    </row>
    <row r="103" spans="2:8" s="68" customFormat="1" ht="11.25">
      <c r="B103" s="68">
        <v>7</v>
      </c>
      <c r="C103" s="68" t="str">
        <f t="shared" si="1"/>
        <v>Glass 7</v>
      </c>
      <c r="D103" s="58" t="str">
        <f>"Glas 7"</f>
        <v>Glas 7</v>
      </c>
      <c r="E103" s="58" t="str">
        <f>"Glass 7"</f>
        <v>Glass 7</v>
      </c>
      <c r="F103" s="57"/>
      <c r="H103" s="57"/>
    </row>
    <row r="104" spans="1:5" s="68" customFormat="1" ht="33.75">
      <c r="A104" s="60" t="s">
        <v>173</v>
      </c>
      <c r="B104" s="81" t="s">
        <v>162</v>
      </c>
      <c r="C104" s="68" t="str">
        <f t="shared" si="1"/>
        <v>Glazing: Insulated glass 28 mm (2x LSG 6 mm)
heat transfer coefficient UG: 1
Design of joint:
ψ = 0,051 ( = Warm Edge)</v>
      </c>
      <c r="D104" s="82" t="str">
        <f>"Verglasung mit "&amp;Glas_sel&amp;"
Wärmedurchgangskoeffizient UG: "&amp;UG_sel&amp;"
Ausführung Randverbund:
ψ = "&amp;Psi_sel&amp;" ( = "&amp;RV_sel&amp;")"</f>
        <v>Verglasung mit Insulated glass 28 mm (2x LSG 6 mm)
Wärmedurchgangskoeffizient UG: 1
Ausführung Randverbund:
ψ = 0,051 ( = Warm Edge)</v>
      </c>
      <c r="E104" s="82" t="str">
        <f>"Glazing: "&amp;Glas_sel&amp;"
heat transfer coefficient UG: "&amp;UG_sel&amp;"
Design of joint:
ψ = "&amp;Psi_sel&amp;" ( = "&amp;RV_sel&amp;")"</f>
        <v>Glazing: Insulated glass 28 mm (2x LSG 6 mm)
heat transfer coefficient UG: 1
Design of joint:
ψ = 0,051 ( = Warm Edge)</v>
      </c>
    </row>
    <row r="105" s="68" customFormat="1" ht="11.25"/>
    <row r="106" s="68" customFormat="1" ht="11.25"/>
    <row r="107" s="68" customFormat="1" ht="11.25"/>
    <row r="108" s="68" customFormat="1" ht="11.25"/>
    <row r="109" s="68" customFormat="1" ht="11.25"/>
    <row r="110" s="68" customFormat="1" ht="11.25"/>
    <row r="111" s="68" customFormat="1" ht="11.25"/>
    <row r="112" s="68" customFormat="1" ht="11.25"/>
    <row r="113" s="68" customFormat="1" ht="11.25"/>
    <row r="114" s="68" customFormat="1" ht="11.25"/>
    <row r="115" s="68" customFormat="1" ht="11.25"/>
    <row r="116" s="68" customFormat="1" ht="11.25"/>
    <row r="117" s="68" customFormat="1" ht="11.25"/>
    <row r="118" s="68" customFormat="1" ht="11.25"/>
    <row r="119" s="68" customFormat="1" ht="11.25"/>
    <row r="120" s="68" customFormat="1" ht="11.25"/>
  </sheetData>
  <sheetProtection password="C65A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4"/>
  <ignoredErrors>
    <ignoredError sqref="F98" 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G44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31.7109375" style="0" customWidth="1"/>
    <col min="2" max="5" width="11.7109375" style="0" customWidth="1"/>
  </cols>
  <sheetData>
    <row r="1" spans="1:6" ht="23.25">
      <c r="A1" s="102" t="s">
        <v>49</v>
      </c>
      <c r="B1" s="103"/>
      <c r="C1" s="103"/>
      <c r="D1" s="103"/>
      <c r="E1" s="104"/>
      <c r="F1" s="76"/>
    </row>
    <row r="2" spans="1:7" ht="15.75">
      <c r="A2" s="105" t="s">
        <v>148</v>
      </c>
      <c r="B2" s="106"/>
      <c r="C2" s="106"/>
      <c r="D2" s="106"/>
      <c r="E2" s="107"/>
      <c r="G2" s="77"/>
    </row>
    <row r="3" spans="1:7" ht="16.5" thickBot="1">
      <c r="A3" s="108" t="s">
        <v>155</v>
      </c>
      <c r="B3" s="109"/>
      <c r="C3" s="109"/>
      <c r="D3" s="109"/>
      <c r="E3" s="110"/>
      <c r="G3" s="77"/>
    </row>
    <row r="4" spans="1:7" ht="14.25" customHeight="1" thickBot="1">
      <c r="A4" s="111"/>
      <c r="B4" s="8"/>
      <c r="C4" s="8"/>
      <c r="D4" s="8"/>
      <c r="E4" s="9"/>
      <c r="G4" s="77"/>
    </row>
    <row r="5" spans="1:7" ht="14.25" customHeight="1" thickBot="1" thickTop="1">
      <c r="A5" s="112"/>
      <c r="B5" s="26" t="s">
        <v>20</v>
      </c>
      <c r="C5" s="72">
        <f>B_sel/1000</f>
        <v>5.8</v>
      </c>
      <c r="D5" s="37" t="s">
        <v>12</v>
      </c>
      <c r="E5" s="73">
        <f>UG_sel</f>
        <v>1</v>
      </c>
      <c r="G5" s="77"/>
    </row>
    <row r="6" spans="1:7" ht="14.25" customHeight="1" thickBot="1" thickTop="1">
      <c r="A6" s="112"/>
      <c r="B6" s="27" t="s">
        <v>112</v>
      </c>
      <c r="C6" s="72">
        <f>LW_sel/1000</f>
        <v>1.1</v>
      </c>
      <c r="D6" s="38" t="s">
        <v>7</v>
      </c>
      <c r="E6" s="74">
        <f>Psi_sel</f>
        <v>0.051</v>
      </c>
      <c r="G6" s="77"/>
    </row>
    <row r="7" spans="1:5" ht="14.25" customHeight="1" thickBot="1" thickTop="1">
      <c r="A7" s="112"/>
      <c r="B7" s="28" t="s">
        <v>18</v>
      </c>
      <c r="C7" s="72">
        <f>LH_sel/1000</f>
        <v>2</v>
      </c>
      <c r="D7" s="8"/>
      <c r="E7" s="9"/>
    </row>
    <row r="8" spans="1:5" ht="14.25" customHeight="1">
      <c r="A8" s="112"/>
      <c r="B8" s="8"/>
      <c r="C8" s="8"/>
      <c r="D8" s="8"/>
      <c r="E8" s="9"/>
    </row>
    <row r="9" spans="1:5" s="35" customFormat="1" ht="14.25" customHeight="1">
      <c r="A9" s="113"/>
      <c r="B9" s="8"/>
      <c r="C9" s="8"/>
      <c r="D9" s="8"/>
      <c r="E9" s="9"/>
    </row>
    <row r="10" spans="1:5" ht="15.75">
      <c r="A10" s="5" t="s">
        <v>4</v>
      </c>
      <c r="B10" s="3" t="s">
        <v>0</v>
      </c>
      <c r="C10" s="3" t="s">
        <v>3</v>
      </c>
      <c r="D10" s="3" t="s">
        <v>2</v>
      </c>
      <c r="E10" s="11" t="s">
        <v>10</v>
      </c>
    </row>
    <row r="11" spans="1:5" ht="12.75">
      <c r="A11" s="14" t="s">
        <v>22</v>
      </c>
      <c r="B11" s="16">
        <f>(C7-0.043)*0.069</f>
        <v>0.13503300000000001</v>
      </c>
      <c r="C11" s="16">
        <f aca="true" t="shared" si="0" ref="C11:C17">B11</f>
        <v>0.13503300000000001</v>
      </c>
      <c r="D11" s="17">
        <v>3.3</v>
      </c>
      <c r="E11" s="18">
        <f aca="true" t="shared" si="1" ref="E11:E17">D11*C11</f>
        <v>0.44560890000000003</v>
      </c>
    </row>
    <row r="12" spans="1:5" ht="12.75">
      <c r="A12" s="14" t="s">
        <v>25</v>
      </c>
      <c r="B12" s="16">
        <f>(C7-0.043)*0.12</f>
        <v>0.23484</v>
      </c>
      <c r="C12" s="16">
        <f t="shared" si="0"/>
        <v>0.23484</v>
      </c>
      <c r="D12" s="17">
        <v>3.3</v>
      </c>
      <c r="E12" s="18">
        <f t="shared" si="1"/>
        <v>0.7749719999999999</v>
      </c>
    </row>
    <row r="13" spans="1:5" ht="12.75">
      <c r="A13" s="14" t="s">
        <v>26</v>
      </c>
      <c r="B13" s="16">
        <f>(C5-C6-0.187)*0.066</f>
        <v>0.29785799999999996</v>
      </c>
      <c r="C13" s="16">
        <f t="shared" si="0"/>
        <v>0.29785799999999996</v>
      </c>
      <c r="D13" s="17">
        <v>2.9</v>
      </c>
      <c r="E13" s="18">
        <f t="shared" si="1"/>
        <v>0.8637881999999999</v>
      </c>
    </row>
    <row r="14" spans="1:6" ht="12.75">
      <c r="A14" s="14" t="s">
        <v>27</v>
      </c>
      <c r="B14" s="16">
        <f>(C7-0.043)*0.05</f>
        <v>0.09785</v>
      </c>
      <c r="C14" s="16">
        <f t="shared" si="0"/>
        <v>0.09785</v>
      </c>
      <c r="D14" s="17">
        <v>4.1</v>
      </c>
      <c r="E14" s="18">
        <f t="shared" si="1"/>
        <v>0.401185</v>
      </c>
      <c r="F14" t="s">
        <v>13</v>
      </c>
    </row>
    <row r="15" spans="1:5" ht="12.75">
      <c r="A15" s="14" t="s">
        <v>43</v>
      </c>
      <c r="B15" s="16">
        <f>(C5-C6-0.068)*0.147</f>
        <v>0.680904</v>
      </c>
      <c r="C15" s="16">
        <f t="shared" si="0"/>
        <v>0.680904</v>
      </c>
      <c r="D15" s="17">
        <v>2.7</v>
      </c>
      <c r="E15" s="18">
        <f t="shared" si="1"/>
        <v>1.8384408</v>
      </c>
    </row>
    <row r="16" spans="1:5" ht="12.75">
      <c r="A16" s="14" t="s">
        <v>42</v>
      </c>
      <c r="B16" s="16">
        <f>(C6-0.052)*0.066</f>
        <v>0.06916800000000001</v>
      </c>
      <c r="C16" s="16">
        <f t="shared" si="0"/>
        <v>0.06916800000000001</v>
      </c>
      <c r="D16" s="17">
        <v>2.9</v>
      </c>
      <c r="E16" s="18">
        <f t="shared" si="1"/>
        <v>0.20058720000000002</v>
      </c>
    </row>
    <row r="17" spans="1:6" ht="12.75">
      <c r="A17" s="14" t="s">
        <v>44</v>
      </c>
      <c r="B17" s="16">
        <f>(C6+0.068)*0.147</f>
        <v>0.17169600000000002</v>
      </c>
      <c r="C17" s="16">
        <f t="shared" si="0"/>
        <v>0.17169600000000002</v>
      </c>
      <c r="D17" s="17">
        <v>5</v>
      </c>
      <c r="E17" s="18">
        <f t="shared" si="1"/>
        <v>0.8584800000000001</v>
      </c>
      <c r="F17" t="s">
        <v>13</v>
      </c>
    </row>
    <row r="18" spans="1:5" ht="12.75">
      <c r="A18" s="7"/>
      <c r="B18" s="8"/>
      <c r="C18" s="19">
        <f>SUM(C11:C17)</f>
        <v>1.687349</v>
      </c>
      <c r="D18" s="8"/>
      <c r="E18" s="20">
        <f>SUM(E11:E17)</f>
        <v>5.3830621</v>
      </c>
    </row>
    <row r="19" spans="1:5" ht="12.75">
      <c r="A19" s="7"/>
      <c r="B19" s="8"/>
      <c r="C19" s="41"/>
      <c r="D19" s="8"/>
      <c r="E19" s="46"/>
    </row>
    <row r="20" spans="1:5" ht="15.75">
      <c r="A20" s="5" t="s">
        <v>5</v>
      </c>
      <c r="B20" s="3" t="s">
        <v>0</v>
      </c>
      <c r="C20" s="42" t="s">
        <v>9</v>
      </c>
      <c r="D20" s="1" t="s">
        <v>12</v>
      </c>
      <c r="E20" s="47" t="s">
        <v>1</v>
      </c>
    </row>
    <row r="21" spans="1:5" ht="12.75">
      <c r="A21" s="14" t="s">
        <v>32</v>
      </c>
      <c r="B21" s="16">
        <f>(C5-C6-0.187)*(C7-0.109)</f>
        <v>8.534082999999999</v>
      </c>
      <c r="C21" s="21">
        <f>B21</f>
        <v>8.534082999999999</v>
      </c>
      <c r="D21" s="16">
        <f>E5</f>
        <v>1</v>
      </c>
      <c r="E21" s="22">
        <f>C21*D21</f>
        <v>8.534082999999999</v>
      </c>
    </row>
    <row r="22" spans="1:5" ht="12.75">
      <c r="A22" s="14" t="s">
        <v>33</v>
      </c>
      <c r="B22" s="16">
        <f>(C6-0.052)*(C7-0.109)</f>
        <v>1.9817680000000002</v>
      </c>
      <c r="C22" s="21">
        <f>B22</f>
        <v>1.9817680000000002</v>
      </c>
      <c r="D22" s="16">
        <f>E5</f>
        <v>1</v>
      </c>
      <c r="E22" s="22">
        <f>C22*D22</f>
        <v>1.9817680000000002</v>
      </c>
    </row>
    <row r="23" spans="1:5" ht="12.75">
      <c r="A23" s="7"/>
      <c r="B23" s="8"/>
      <c r="C23" s="23">
        <f>SUM(C21:C22)</f>
        <v>10.515851</v>
      </c>
      <c r="D23" s="8"/>
      <c r="E23" s="20">
        <f>SUM(E21:E22)</f>
        <v>10.515851</v>
      </c>
    </row>
    <row r="24" spans="1:5" ht="12.75">
      <c r="A24" s="7"/>
      <c r="B24" s="8"/>
      <c r="C24" s="41"/>
      <c r="D24" s="8"/>
      <c r="E24" s="46"/>
    </row>
    <row r="25" spans="1:5" ht="15.75">
      <c r="A25" s="6" t="s">
        <v>34</v>
      </c>
      <c r="B25" s="4" t="s">
        <v>6</v>
      </c>
      <c r="C25" s="42" t="s">
        <v>8</v>
      </c>
      <c r="D25" s="2" t="s">
        <v>7</v>
      </c>
      <c r="E25" s="48" t="s">
        <v>11</v>
      </c>
    </row>
    <row r="26" spans="1:5" ht="12.75">
      <c r="A26" s="14" t="s">
        <v>37</v>
      </c>
      <c r="B26" s="16">
        <f>C5-C6-0.187</f>
        <v>4.512999999999999</v>
      </c>
      <c r="C26" s="16">
        <f>B26*2</f>
        <v>9.025999999999998</v>
      </c>
      <c r="D26" s="24">
        <f>E6</f>
        <v>0.051</v>
      </c>
      <c r="E26" s="22">
        <f>C26*D26</f>
        <v>0.46032599999999985</v>
      </c>
    </row>
    <row r="27" spans="1:5" ht="12.75">
      <c r="A27" s="14" t="s">
        <v>38</v>
      </c>
      <c r="B27" s="16">
        <f>C6-0.052</f>
        <v>1.048</v>
      </c>
      <c r="C27" s="16">
        <f>B27*2</f>
        <v>2.096</v>
      </c>
      <c r="D27" s="24">
        <f>E6</f>
        <v>0.051</v>
      </c>
      <c r="E27" s="22">
        <f>C27*D27</f>
        <v>0.10689599999999999</v>
      </c>
    </row>
    <row r="28" spans="1:5" ht="12.75">
      <c r="A28" s="14" t="s">
        <v>39</v>
      </c>
      <c r="B28" s="16">
        <f>C7-0.109</f>
        <v>1.891</v>
      </c>
      <c r="C28" s="16">
        <f>B28*4</f>
        <v>7.564</v>
      </c>
      <c r="D28" s="24">
        <f>E6</f>
        <v>0.051</v>
      </c>
      <c r="E28" s="22">
        <f>C28*D28</f>
        <v>0.385764</v>
      </c>
    </row>
    <row r="29" spans="1:5" ht="12.75">
      <c r="A29" s="7"/>
      <c r="B29" s="8"/>
      <c r="C29" s="19">
        <f>SUM(C26:C28)</f>
        <v>18.686</v>
      </c>
      <c r="D29" s="8"/>
      <c r="E29" s="20">
        <f>SUM(E26:E28)</f>
        <v>0.9529859999999999</v>
      </c>
    </row>
    <row r="30" spans="1:5" ht="13.5" thickBot="1">
      <c r="A30" s="7"/>
      <c r="B30" s="8"/>
      <c r="C30" s="8"/>
      <c r="D30" s="8"/>
      <c r="E30" s="9"/>
    </row>
    <row r="31" spans="1:5" ht="27.75" thickBot="1" thickTop="1">
      <c r="A31" s="7"/>
      <c r="B31" s="31" t="s">
        <v>21</v>
      </c>
      <c r="C31" s="100">
        <f>(E18+E23+E29)/(C18+C23)</f>
        <v>1.3809409908876362</v>
      </c>
      <c r="D31" s="101"/>
      <c r="E31" s="9"/>
    </row>
    <row r="32" spans="1:5" ht="24" thickTop="1">
      <c r="A32" s="7"/>
      <c r="B32" s="43"/>
      <c r="C32" s="54"/>
      <c r="D32" s="54"/>
      <c r="E32" s="9"/>
    </row>
    <row r="33" spans="1:5" ht="16.5" thickBot="1">
      <c r="A33" s="45" t="s">
        <v>40</v>
      </c>
      <c r="B33" s="8"/>
      <c r="C33" s="8"/>
      <c r="D33" s="8"/>
      <c r="E33" s="9"/>
    </row>
    <row r="34" spans="1:5" ht="12.75" customHeight="1" thickTop="1">
      <c r="A34" s="89" t="str">
        <f>Glas_Info</f>
        <v>Glazing: Insulated glass 28 mm (2x LSG 6 mm)
heat transfer coefficient UG: 1
Design of joint:
ψ = 0,051 ( = Warm Edge)</v>
      </c>
      <c r="B34" s="90"/>
      <c r="C34" s="90"/>
      <c r="D34" s="90"/>
      <c r="E34" s="91"/>
    </row>
    <row r="35" spans="1:5" ht="12.75" customHeight="1">
      <c r="A35" s="92"/>
      <c r="B35" s="93"/>
      <c r="C35" s="93"/>
      <c r="D35" s="93"/>
      <c r="E35" s="94"/>
    </row>
    <row r="36" spans="1:5" ht="12.75" customHeight="1">
      <c r="A36" s="92"/>
      <c r="B36" s="93"/>
      <c r="C36" s="93"/>
      <c r="D36" s="93"/>
      <c r="E36" s="94"/>
    </row>
    <row r="37" spans="1:5" ht="12.75" customHeight="1">
      <c r="A37" s="92"/>
      <c r="B37" s="93"/>
      <c r="C37" s="93"/>
      <c r="D37" s="93"/>
      <c r="E37" s="94"/>
    </row>
    <row r="38" spans="1:5" ht="12.75" customHeight="1">
      <c r="A38" s="92"/>
      <c r="B38" s="93"/>
      <c r="C38" s="93"/>
      <c r="D38" s="93"/>
      <c r="E38" s="94"/>
    </row>
    <row r="39" spans="1:5" ht="12.75" customHeight="1">
      <c r="A39" s="92"/>
      <c r="B39" s="93"/>
      <c r="C39" s="93"/>
      <c r="D39" s="93"/>
      <c r="E39" s="94"/>
    </row>
    <row r="40" spans="1:5" ht="12.75" customHeight="1">
      <c r="A40" s="92"/>
      <c r="B40" s="93"/>
      <c r="C40" s="93"/>
      <c r="D40" s="93"/>
      <c r="E40" s="94"/>
    </row>
    <row r="41" spans="1:5" ht="12.75" customHeight="1">
      <c r="A41" s="92"/>
      <c r="B41" s="93"/>
      <c r="C41" s="93"/>
      <c r="D41" s="93"/>
      <c r="E41" s="94"/>
    </row>
    <row r="42" spans="1:5" ht="12.75" customHeight="1">
      <c r="A42" s="92"/>
      <c r="B42" s="93"/>
      <c r="C42" s="93"/>
      <c r="D42" s="93"/>
      <c r="E42" s="94"/>
    </row>
    <row r="43" spans="1:5" ht="12.75" customHeight="1" thickBot="1">
      <c r="A43" s="95"/>
      <c r="B43" s="96"/>
      <c r="C43" s="96"/>
      <c r="D43" s="96"/>
      <c r="E43" s="97"/>
    </row>
    <row r="44" spans="1:5" ht="14.25" thickBot="1" thickTop="1">
      <c r="A44" s="78" t="s">
        <v>15</v>
      </c>
      <c r="B44" s="98" t="s">
        <v>154</v>
      </c>
      <c r="C44" s="99"/>
      <c r="D44" s="52" t="s">
        <v>16</v>
      </c>
      <c r="E44" s="83">
        <f>Rev_Datum</f>
        <v>40690</v>
      </c>
    </row>
  </sheetData>
  <sheetProtection password="C65A" sheet="1" objects="1" scenarios="1" selectLockedCells="1"/>
  <mergeCells count="7">
    <mergeCell ref="B44:C44"/>
    <mergeCell ref="C31:D31"/>
    <mergeCell ref="A34:E43"/>
    <mergeCell ref="A1:E1"/>
    <mergeCell ref="A2:E2"/>
    <mergeCell ref="A3:E3"/>
    <mergeCell ref="A4:A9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r:id="rId2"/>
  <headerFooter alignWithMargins="0">
    <oddFooter>&amp;L&amp;8UD-Tool&amp;R&amp;8gedruckt: &amp;D -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G44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31.7109375" style="0" customWidth="1"/>
    <col min="2" max="5" width="11.7109375" style="0" customWidth="1"/>
  </cols>
  <sheetData>
    <row r="1" spans="1:6" ht="23.25">
      <c r="A1" s="102" t="s">
        <v>49</v>
      </c>
      <c r="B1" s="103"/>
      <c r="C1" s="103"/>
      <c r="D1" s="103"/>
      <c r="E1" s="104"/>
      <c r="F1" s="76"/>
    </row>
    <row r="2" spans="1:7" ht="15.75">
      <c r="A2" s="105" t="s">
        <v>148</v>
      </c>
      <c r="B2" s="106"/>
      <c r="C2" s="106"/>
      <c r="D2" s="106"/>
      <c r="E2" s="107"/>
      <c r="G2" s="77"/>
    </row>
    <row r="3" spans="1:7" ht="16.5" thickBot="1">
      <c r="A3" s="108" t="s">
        <v>156</v>
      </c>
      <c r="B3" s="109"/>
      <c r="C3" s="109"/>
      <c r="D3" s="109"/>
      <c r="E3" s="110"/>
      <c r="G3" s="77"/>
    </row>
    <row r="4" spans="1:7" ht="14.25" customHeight="1" thickBot="1">
      <c r="A4" s="111"/>
      <c r="B4" s="8"/>
      <c r="C4" s="8"/>
      <c r="D4" s="8"/>
      <c r="E4" s="9"/>
      <c r="G4" s="77"/>
    </row>
    <row r="5" spans="1:7" ht="14.25" customHeight="1" thickBot="1" thickTop="1">
      <c r="A5" s="112"/>
      <c r="B5" s="26" t="s">
        <v>20</v>
      </c>
      <c r="C5" s="72">
        <f>B_sel/1000</f>
        <v>5.8</v>
      </c>
      <c r="D5" s="37" t="s">
        <v>12</v>
      </c>
      <c r="E5" s="73">
        <f>UG_sel</f>
        <v>1</v>
      </c>
      <c r="G5" s="77"/>
    </row>
    <row r="6" spans="1:7" ht="14.25" customHeight="1" thickBot="1" thickTop="1">
      <c r="A6" s="112"/>
      <c r="B6" s="27" t="s">
        <v>112</v>
      </c>
      <c r="C6" s="72">
        <f>LW_sel/1000</f>
        <v>1.1</v>
      </c>
      <c r="D6" s="38" t="s">
        <v>7</v>
      </c>
      <c r="E6" s="74">
        <f>Psi_sel</f>
        <v>0.051</v>
      </c>
      <c r="G6" s="77"/>
    </row>
    <row r="7" spans="1:5" ht="14.25" customHeight="1" thickBot="1" thickTop="1">
      <c r="A7" s="112"/>
      <c r="B7" s="28" t="s">
        <v>18</v>
      </c>
      <c r="C7" s="72">
        <f>LH_sel/1000</f>
        <v>2</v>
      </c>
      <c r="D7" s="8"/>
      <c r="E7" s="9"/>
    </row>
    <row r="8" spans="1:5" ht="14.25" customHeight="1">
      <c r="A8" s="112"/>
      <c r="B8" s="8"/>
      <c r="C8" s="8"/>
      <c r="D8" s="8"/>
      <c r="E8" s="9"/>
    </row>
    <row r="9" spans="1:5" s="35" customFormat="1" ht="14.25" customHeight="1">
      <c r="A9" s="113"/>
      <c r="B9" s="8"/>
      <c r="C9" s="8"/>
      <c r="D9" s="8"/>
      <c r="E9" s="9"/>
    </row>
    <row r="10" spans="1:5" ht="15.75">
      <c r="A10" s="5" t="s">
        <v>4</v>
      </c>
      <c r="B10" s="3" t="s">
        <v>0</v>
      </c>
      <c r="C10" s="3" t="s">
        <v>3</v>
      </c>
      <c r="D10" s="3" t="s">
        <v>2</v>
      </c>
      <c r="E10" s="11" t="s">
        <v>10</v>
      </c>
    </row>
    <row r="11" spans="1:5" ht="12.75">
      <c r="A11" s="14" t="s">
        <v>22</v>
      </c>
      <c r="B11" s="16">
        <f>(C7-0.043)*0.069</f>
        <v>0.13503300000000001</v>
      </c>
      <c r="C11" s="16">
        <f aca="true" t="shared" si="0" ref="C11:C17">B11</f>
        <v>0.13503300000000001</v>
      </c>
      <c r="D11" s="17">
        <v>3.3</v>
      </c>
      <c r="E11" s="18">
        <f aca="true" t="shared" si="1" ref="E11:E17">D11*C11</f>
        <v>0.44560890000000003</v>
      </c>
    </row>
    <row r="12" spans="1:5" ht="12.75">
      <c r="A12" s="14" t="s">
        <v>25</v>
      </c>
      <c r="B12" s="16">
        <f>(C7-0.043)*0.12</f>
        <v>0.23484</v>
      </c>
      <c r="C12" s="16">
        <f t="shared" si="0"/>
        <v>0.23484</v>
      </c>
      <c r="D12" s="17">
        <v>3.3</v>
      </c>
      <c r="E12" s="18">
        <f t="shared" si="1"/>
        <v>0.7749719999999999</v>
      </c>
    </row>
    <row r="13" spans="1:5" ht="12.75">
      <c r="A13" s="14" t="s">
        <v>26</v>
      </c>
      <c r="B13" s="16">
        <f>(C5-C6-0.187)*0.066</f>
        <v>0.29785799999999996</v>
      </c>
      <c r="C13" s="16">
        <f t="shared" si="0"/>
        <v>0.29785799999999996</v>
      </c>
      <c r="D13" s="17">
        <v>2.9</v>
      </c>
      <c r="E13" s="18">
        <f t="shared" si="1"/>
        <v>0.8637881999999999</v>
      </c>
    </row>
    <row r="14" spans="1:6" ht="12.75">
      <c r="A14" s="14" t="s">
        <v>27</v>
      </c>
      <c r="B14" s="16">
        <f>(C7-0.043)*0.05</f>
        <v>0.09785</v>
      </c>
      <c r="C14" s="16">
        <f t="shared" si="0"/>
        <v>0.09785</v>
      </c>
      <c r="D14" s="17">
        <v>4.1</v>
      </c>
      <c r="E14" s="18">
        <f t="shared" si="1"/>
        <v>0.401185</v>
      </c>
      <c r="F14" t="s">
        <v>13</v>
      </c>
    </row>
    <row r="15" spans="1:5" ht="12.75">
      <c r="A15" s="14" t="s">
        <v>43</v>
      </c>
      <c r="B15" s="16">
        <f>(C5-C6-0.068)*0.147</f>
        <v>0.680904</v>
      </c>
      <c r="C15" s="16">
        <f t="shared" si="0"/>
        <v>0.680904</v>
      </c>
      <c r="D15" s="17">
        <v>2.7</v>
      </c>
      <c r="E15" s="18">
        <f t="shared" si="1"/>
        <v>1.8384408</v>
      </c>
    </row>
    <row r="16" spans="1:5" ht="12.75">
      <c r="A16" s="14" t="s">
        <v>29</v>
      </c>
      <c r="B16" s="16">
        <f>(C6-0.052)*0.066</f>
        <v>0.06916800000000001</v>
      </c>
      <c r="C16" s="16">
        <f t="shared" si="0"/>
        <v>0.06916800000000001</v>
      </c>
      <c r="D16" s="17">
        <v>3.4</v>
      </c>
      <c r="E16" s="18">
        <f t="shared" si="1"/>
        <v>0.23517120000000002</v>
      </c>
    </row>
    <row r="17" spans="1:6" ht="12.75">
      <c r="A17" s="14" t="s">
        <v>44</v>
      </c>
      <c r="B17" s="16">
        <f>(C6+0.068)*0.147</f>
        <v>0.17169600000000002</v>
      </c>
      <c r="C17" s="16">
        <f t="shared" si="0"/>
        <v>0.17169600000000002</v>
      </c>
      <c r="D17" s="17">
        <v>5</v>
      </c>
      <c r="E17" s="18">
        <f t="shared" si="1"/>
        <v>0.8584800000000001</v>
      </c>
      <c r="F17" t="s">
        <v>13</v>
      </c>
    </row>
    <row r="18" spans="1:5" ht="12.75">
      <c r="A18" s="7"/>
      <c r="B18" s="8"/>
      <c r="C18" s="19">
        <f>SUM(C11:C17)</f>
        <v>1.687349</v>
      </c>
      <c r="D18" s="8"/>
      <c r="E18" s="20">
        <f>SUM(E11:E17)</f>
        <v>5.4176461</v>
      </c>
    </row>
    <row r="19" spans="1:5" ht="12.75">
      <c r="A19" s="7"/>
      <c r="B19" s="8"/>
      <c r="C19" s="41"/>
      <c r="D19" s="8"/>
      <c r="E19" s="46"/>
    </row>
    <row r="20" spans="1:5" ht="15.75">
      <c r="A20" s="5" t="s">
        <v>5</v>
      </c>
      <c r="B20" s="3" t="s">
        <v>0</v>
      </c>
      <c r="C20" s="42" t="s">
        <v>9</v>
      </c>
      <c r="D20" s="1" t="s">
        <v>12</v>
      </c>
      <c r="E20" s="47" t="s">
        <v>1</v>
      </c>
    </row>
    <row r="21" spans="1:5" ht="12.75">
      <c r="A21" s="14" t="s">
        <v>32</v>
      </c>
      <c r="B21" s="16">
        <f>(C5-C6-0.187)*(C7-0.109)</f>
        <v>8.534082999999999</v>
      </c>
      <c r="C21" s="21">
        <f>B21</f>
        <v>8.534082999999999</v>
      </c>
      <c r="D21" s="16">
        <f>E5</f>
        <v>1</v>
      </c>
      <c r="E21" s="22">
        <f>C21*D21</f>
        <v>8.534082999999999</v>
      </c>
    </row>
    <row r="22" spans="1:5" ht="12.75">
      <c r="A22" s="14" t="s">
        <v>33</v>
      </c>
      <c r="B22" s="16">
        <f>(C6-0.052)*(C7-0.109)</f>
        <v>1.9817680000000002</v>
      </c>
      <c r="C22" s="21">
        <f>B22</f>
        <v>1.9817680000000002</v>
      </c>
      <c r="D22" s="16">
        <f>E5</f>
        <v>1</v>
      </c>
      <c r="E22" s="22">
        <f>C22*D22</f>
        <v>1.9817680000000002</v>
      </c>
    </row>
    <row r="23" spans="1:5" ht="12.75">
      <c r="A23" s="7"/>
      <c r="B23" s="8"/>
      <c r="C23" s="23">
        <f>SUM(C21:C22)</f>
        <v>10.515851</v>
      </c>
      <c r="D23" s="8"/>
      <c r="E23" s="20">
        <f>SUM(E21:E22)</f>
        <v>10.515851</v>
      </c>
    </row>
    <row r="24" spans="1:5" ht="12.75">
      <c r="A24" s="7"/>
      <c r="B24" s="8"/>
      <c r="C24" s="41"/>
      <c r="D24" s="8"/>
      <c r="E24" s="46"/>
    </row>
    <row r="25" spans="1:5" ht="15.75">
      <c r="A25" s="6" t="s">
        <v>34</v>
      </c>
      <c r="B25" s="4" t="s">
        <v>6</v>
      </c>
      <c r="C25" s="42" t="s">
        <v>8</v>
      </c>
      <c r="D25" s="2" t="s">
        <v>7</v>
      </c>
      <c r="E25" s="48" t="s">
        <v>11</v>
      </c>
    </row>
    <row r="26" spans="1:5" ht="12.75">
      <c r="A26" s="14" t="s">
        <v>37</v>
      </c>
      <c r="B26" s="16">
        <f>C5-C6-0.187</f>
        <v>4.512999999999999</v>
      </c>
      <c r="C26" s="16">
        <f>B26*2</f>
        <v>9.025999999999998</v>
      </c>
      <c r="D26" s="24">
        <f>E6</f>
        <v>0.051</v>
      </c>
      <c r="E26" s="22">
        <f>C26*D26</f>
        <v>0.46032599999999985</v>
      </c>
    </row>
    <row r="27" spans="1:5" ht="12.75">
      <c r="A27" s="14" t="s">
        <v>38</v>
      </c>
      <c r="B27" s="16">
        <f>C6-0.052</f>
        <v>1.048</v>
      </c>
      <c r="C27" s="16">
        <f>B27*2</f>
        <v>2.096</v>
      </c>
      <c r="D27" s="24">
        <f>E6</f>
        <v>0.051</v>
      </c>
      <c r="E27" s="22">
        <f>C27*D27</f>
        <v>0.10689599999999999</v>
      </c>
    </row>
    <row r="28" spans="1:5" ht="12.75">
      <c r="A28" s="14" t="s">
        <v>39</v>
      </c>
      <c r="B28" s="16">
        <f>C7-0.109</f>
        <v>1.891</v>
      </c>
      <c r="C28" s="16">
        <f>B28*4</f>
        <v>7.564</v>
      </c>
      <c r="D28" s="24">
        <f>E6</f>
        <v>0.051</v>
      </c>
      <c r="E28" s="22">
        <f>C28*D28</f>
        <v>0.385764</v>
      </c>
    </row>
    <row r="29" spans="1:5" ht="12.75">
      <c r="A29" s="7"/>
      <c r="B29" s="8"/>
      <c r="C29" s="19">
        <f>SUM(C26:C28)</f>
        <v>18.686</v>
      </c>
      <c r="D29" s="8"/>
      <c r="E29" s="20">
        <f>SUM(E26:E28)</f>
        <v>0.9529859999999999</v>
      </c>
    </row>
    <row r="30" spans="1:5" ht="13.5" thickBot="1">
      <c r="A30" s="7"/>
      <c r="B30" s="8"/>
      <c r="C30" s="8"/>
      <c r="D30" s="8"/>
      <c r="E30" s="9"/>
    </row>
    <row r="31" spans="1:5" ht="27.75" thickBot="1" thickTop="1">
      <c r="A31" s="7"/>
      <c r="B31" s="31" t="s">
        <v>21</v>
      </c>
      <c r="C31" s="100">
        <f>(E18+E23+E29)/(C18+C23)</f>
        <v>1.3837750016389145</v>
      </c>
      <c r="D31" s="101"/>
      <c r="E31" s="9"/>
    </row>
    <row r="32" spans="1:5" ht="24" thickTop="1">
      <c r="A32" s="7"/>
      <c r="B32" s="43"/>
      <c r="C32" s="54"/>
      <c r="D32" s="54"/>
      <c r="E32" s="9"/>
    </row>
    <row r="33" spans="1:5" ht="16.5" thickBot="1">
      <c r="A33" s="45" t="s">
        <v>40</v>
      </c>
      <c r="B33" s="8"/>
      <c r="C33" s="8"/>
      <c r="D33" s="8"/>
      <c r="E33" s="9"/>
    </row>
    <row r="34" spans="1:5" ht="12.75" customHeight="1" thickTop="1">
      <c r="A34" s="89" t="str">
        <f>Glas_Info</f>
        <v>Glazing: Insulated glass 28 mm (2x LSG 6 mm)
heat transfer coefficient UG: 1
Design of joint:
ψ = 0,051 ( = Warm Edge)</v>
      </c>
      <c r="B34" s="90"/>
      <c r="C34" s="90"/>
      <c r="D34" s="90"/>
      <c r="E34" s="91"/>
    </row>
    <row r="35" spans="1:5" ht="12.75" customHeight="1">
      <c r="A35" s="92"/>
      <c r="B35" s="93"/>
      <c r="C35" s="93"/>
      <c r="D35" s="93"/>
      <c r="E35" s="94"/>
    </row>
    <row r="36" spans="1:5" ht="12.75" customHeight="1">
      <c r="A36" s="92"/>
      <c r="B36" s="93"/>
      <c r="C36" s="93"/>
      <c r="D36" s="93"/>
      <c r="E36" s="94"/>
    </row>
    <row r="37" spans="1:5" ht="12.75" customHeight="1">
      <c r="A37" s="92"/>
      <c r="B37" s="93"/>
      <c r="C37" s="93"/>
      <c r="D37" s="93"/>
      <c r="E37" s="94"/>
    </row>
    <row r="38" spans="1:5" ht="12.75" customHeight="1">
      <c r="A38" s="92"/>
      <c r="B38" s="93"/>
      <c r="C38" s="93"/>
      <c r="D38" s="93"/>
      <c r="E38" s="94"/>
    </row>
    <row r="39" spans="1:5" ht="12.75" customHeight="1">
      <c r="A39" s="92"/>
      <c r="B39" s="93"/>
      <c r="C39" s="93"/>
      <c r="D39" s="93"/>
      <c r="E39" s="94"/>
    </row>
    <row r="40" spans="1:5" ht="12.75" customHeight="1">
      <c r="A40" s="92"/>
      <c r="B40" s="93"/>
      <c r="C40" s="93"/>
      <c r="D40" s="93"/>
      <c r="E40" s="94"/>
    </row>
    <row r="41" spans="1:5" ht="12.75" customHeight="1">
      <c r="A41" s="92"/>
      <c r="B41" s="93"/>
      <c r="C41" s="93"/>
      <c r="D41" s="93"/>
      <c r="E41" s="94"/>
    </row>
    <row r="42" spans="1:5" ht="12.75" customHeight="1">
      <c r="A42" s="92"/>
      <c r="B42" s="93"/>
      <c r="C42" s="93"/>
      <c r="D42" s="93"/>
      <c r="E42" s="94"/>
    </row>
    <row r="43" spans="1:5" ht="12.75" customHeight="1" thickBot="1">
      <c r="A43" s="95"/>
      <c r="B43" s="96"/>
      <c r="C43" s="96"/>
      <c r="D43" s="96"/>
      <c r="E43" s="97"/>
    </row>
    <row r="44" spans="1:5" ht="14.25" thickBot="1" thickTop="1">
      <c r="A44" s="78" t="s">
        <v>15</v>
      </c>
      <c r="B44" s="98" t="s">
        <v>154</v>
      </c>
      <c r="C44" s="99"/>
      <c r="D44" s="52" t="s">
        <v>16</v>
      </c>
      <c r="E44" s="83">
        <f>Rev_Datum</f>
        <v>40690</v>
      </c>
    </row>
  </sheetData>
  <sheetProtection password="C65A" sheet="1" objects="1" scenarios="1" selectLockedCells="1"/>
  <mergeCells count="7">
    <mergeCell ref="B44:C44"/>
    <mergeCell ref="C31:D31"/>
    <mergeCell ref="A34:E43"/>
    <mergeCell ref="A1:E1"/>
    <mergeCell ref="A2:E2"/>
    <mergeCell ref="A3:E3"/>
    <mergeCell ref="A4:A9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r:id="rId2"/>
  <headerFooter alignWithMargins="0">
    <oddFooter>&amp;L&amp;8UD-Tool&amp;R&amp;8gedruckt: &amp;D - &amp;T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F48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31.7109375" style="0" customWidth="1"/>
    <col min="2" max="5" width="11.7109375" style="0" customWidth="1"/>
  </cols>
  <sheetData>
    <row r="1" spans="1:6" ht="23.25">
      <c r="A1" s="102" t="s">
        <v>49</v>
      </c>
      <c r="B1" s="103"/>
      <c r="C1" s="103"/>
      <c r="D1" s="103"/>
      <c r="E1" s="104"/>
      <c r="F1" s="76"/>
    </row>
    <row r="2" spans="1:5" ht="15.75">
      <c r="A2" s="105" t="s">
        <v>149</v>
      </c>
      <c r="B2" s="106"/>
      <c r="C2" s="106"/>
      <c r="D2" s="106"/>
      <c r="E2" s="107"/>
    </row>
    <row r="3" spans="1:5" ht="16.5" thickBot="1">
      <c r="A3" s="108" t="s">
        <v>155</v>
      </c>
      <c r="B3" s="109"/>
      <c r="C3" s="109"/>
      <c r="D3" s="109"/>
      <c r="E3" s="110"/>
    </row>
    <row r="4" spans="1:5" ht="13.5" thickBot="1">
      <c r="A4" s="111"/>
      <c r="B4" s="8"/>
      <c r="C4" s="8"/>
      <c r="D4" s="8"/>
      <c r="E4" s="9"/>
    </row>
    <row r="5" spans="1:5" ht="14.25" thickBot="1" thickTop="1">
      <c r="A5" s="112"/>
      <c r="B5" s="26" t="s">
        <v>20</v>
      </c>
      <c r="C5" s="75">
        <f>B_sel/1000</f>
        <v>5.8</v>
      </c>
      <c r="D5" s="37" t="s">
        <v>12</v>
      </c>
      <c r="E5" s="73">
        <f>UG_sel</f>
        <v>1</v>
      </c>
    </row>
    <row r="6" spans="1:5" ht="17.25" thickBot="1" thickTop="1">
      <c r="A6" s="112"/>
      <c r="B6" s="27" t="s">
        <v>19</v>
      </c>
      <c r="C6" s="75">
        <f>H_sel/1000</f>
        <v>3</v>
      </c>
      <c r="D6" s="38" t="s">
        <v>7</v>
      </c>
      <c r="E6" s="74">
        <f>Psi_sel</f>
        <v>0.051</v>
      </c>
    </row>
    <row r="7" spans="1:5" ht="14.25" thickBot="1" thickTop="1">
      <c r="A7" s="112"/>
      <c r="B7" s="27" t="s">
        <v>112</v>
      </c>
      <c r="C7" s="75">
        <f>LW_sel/1000</f>
        <v>1.1</v>
      </c>
      <c r="D7" s="8"/>
      <c r="E7" s="10"/>
    </row>
    <row r="8" spans="1:5" ht="14.25" thickBot="1" thickTop="1">
      <c r="A8" s="112"/>
      <c r="B8" s="28" t="s">
        <v>18</v>
      </c>
      <c r="C8" s="75">
        <f>LH_sel/1000</f>
        <v>2</v>
      </c>
      <c r="D8" s="8"/>
      <c r="E8" s="9"/>
    </row>
    <row r="9" spans="1:5" ht="12.75">
      <c r="A9" s="113"/>
      <c r="B9" s="8"/>
      <c r="C9" s="8"/>
      <c r="D9" s="8"/>
      <c r="E9" s="9"/>
    </row>
    <row r="10" spans="1:5" ht="15.75">
      <c r="A10" s="5" t="s">
        <v>4</v>
      </c>
      <c r="B10" s="3" t="s">
        <v>0</v>
      </c>
      <c r="C10" s="3" t="s">
        <v>3</v>
      </c>
      <c r="D10" s="3" t="s">
        <v>2</v>
      </c>
      <c r="E10" s="11" t="s">
        <v>10</v>
      </c>
    </row>
    <row r="11" spans="1:5" ht="12.75">
      <c r="A11" s="14" t="s">
        <v>22</v>
      </c>
      <c r="B11" s="15">
        <f>(C8-0.043)*0.069</f>
        <v>0.13503300000000001</v>
      </c>
      <c r="C11" s="16">
        <f>B11</f>
        <v>0.13503300000000001</v>
      </c>
      <c r="D11" s="17">
        <v>3.3</v>
      </c>
      <c r="E11" s="18">
        <f aca="true" t="shared" si="0" ref="E11:E19">D11*C11</f>
        <v>0.44560890000000003</v>
      </c>
    </row>
    <row r="12" spans="1:5" ht="12.75">
      <c r="A12" s="14" t="s">
        <v>23</v>
      </c>
      <c r="B12" s="15">
        <f>C5*0.069</f>
        <v>0.4002</v>
      </c>
      <c r="C12" s="16">
        <f>B12</f>
        <v>0.4002</v>
      </c>
      <c r="D12" s="17">
        <v>3.3</v>
      </c>
      <c r="E12" s="18">
        <f t="shared" si="0"/>
        <v>1.32066</v>
      </c>
    </row>
    <row r="13" spans="1:5" ht="12.75">
      <c r="A13" s="14" t="s">
        <v>24</v>
      </c>
      <c r="B13" s="15">
        <f>(C6-C8-0.216)*0.069</f>
        <v>0.054096000000000005</v>
      </c>
      <c r="C13" s="16">
        <f>B13*2</f>
        <v>0.10819200000000001</v>
      </c>
      <c r="D13" s="17">
        <v>3.3</v>
      </c>
      <c r="E13" s="18">
        <f t="shared" si="0"/>
        <v>0.3570336</v>
      </c>
    </row>
    <row r="14" spans="1:5" ht="12.75">
      <c r="A14" s="14" t="s">
        <v>150</v>
      </c>
      <c r="B14" s="15">
        <f>(C8-0.043)*0.12</f>
        <v>0.23484</v>
      </c>
      <c r="C14" s="16">
        <f aca="true" t="shared" si="1" ref="C14:C19">B14</f>
        <v>0.23484</v>
      </c>
      <c r="D14" s="17">
        <v>3.3</v>
      </c>
      <c r="E14" s="18">
        <f t="shared" si="0"/>
        <v>0.7749719999999999</v>
      </c>
    </row>
    <row r="15" spans="1:5" ht="12.75">
      <c r="A15" s="14" t="s">
        <v>26</v>
      </c>
      <c r="B15" s="15">
        <f>(C5-C7-0.187)*0.066</f>
        <v>0.29785799999999996</v>
      </c>
      <c r="C15" s="16">
        <f t="shared" si="1"/>
        <v>0.29785799999999996</v>
      </c>
      <c r="D15" s="17">
        <v>2.9</v>
      </c>
      <c r="E15" s="18">
        <f t="shared" si="0"/>
        <v>0.8637881999999999</v>
      </c>
    </row>
    <row r="16" spans="1:6" ht="12.75">
      <c r="A16" s="14" t="s">
        <v>27</v>
      </c>
      <c r="B16" s="15">
        <f>(C8-0.043)*0.05</f>
        <v>0.09785</v>
      </c>
      <c r="C16" s="16">
        <f t="shared" si="1"/>
        <v>0.09785</v>
      </c>
      <c r="D16" s="17">
        <v>4.1</v>
      </c>
      <c r="E16" s="18">
        <f t="shared" si="0"/>
        <v>0.401185</v>
      </c>
      <c r="F16" t="s">
        <v>13</v>
      </c>
    </row>
    <row r="17" spans="1:5" ht="12.75">
      <c r="A17" s="14" t="s">
        <v>30</v>
      </c>
      <c r="B17" s="15">
        <f>(C5-C7-0.068)*0.19</f>
        <v>0.88008</v>
      </c>
      <c r="C17" s="16">
        <f t="shared" si="1"/>
        <v>0.88008</v>
      </c>
      <c r="D17" s="17">
        <v>3.1</v>
      </c>
      <c r="E17" s="18">
        <f t="shared" si="0"/>
        <v>2.728248</v>
      </c>
    </row>
    <row r="18" spans="1:5" ht="12.75">
      <c r="A18" s="14" t="s">
        <v>42</v>
      </c>
      <c r="B18" s="15">
        <f>(C7-0.052)*0.066</f>
        <v>0.06916800000000001</v>
      </c>
      <c r="C18" s="16">
        <f t="shared" si="1"/>
        <v>0.06916800000000001</v>
      </c>
      <c r="D18" s="17">
        <v>2.9</v>
      </c>
      <c r="E18" s="18">
        <f t="shared" si="0"/>
        <v>0.20058720000000002</v>
      </c>
    </row>
    <row r="19" spans="1:6" ht="12.75">
      <c r="A19" s="14" t="s">
        <v>28</v>
      </c>
      <c r="B19" s="15">
        <f>(C7+0.068)*0.19</f>
        <v>0.22192000000000003</v>
      </c>
      <c r="C19" s="16">
        <f t="shared" si="1"/>
        <v>0.22192000000000003</v>
      </c>
      <c r="D19" s="17">
        <v>4.8</v>
      </c>
      <c r="E19" s="18">
        <f t="shared" si="0"/>
        <v>1.0652160000000002</v>
      </c>
      <c r="F19" t="s">
        <v>13</v>
      </c>
    </row>
    <row r="20" spans="1:5" ht="12.75">
      <c r="A20" s="7"/>
      <c r="B20" s="8"/>
      <c r="C20" s="19">
        <f>SUM(C11:C19)</f>
        <v>2.445141</v>
      </c>
      <c r="D20" s="8"/>
      <c r="E20" s="20">
        <f>SUM(E11:E19)</f>
        <v>8.157298899999999</v>
      </c>
    </row>
    <row r="21" spans="1:5" ht="12.75">
      <c r="A21" s="7"/>
      <c r="B21" s="8"/>
      <c r="C21" s="8"/>
      <c r="D21" s="8"/>
      <c r="E21" s="9"/>
    </row>
    <row r="22" spans="1:5" ht="15.75">
      <c r="A22" s="5" t="s">
        <v>5</v>
      </c>
      <c r="B22" s="3" t="s">
        <v>0</v>
      </c>
      <c r="C22" s="3" t="s">
        <v>9</v>
      </c>
      <c r="D22" s="1" t="s">
        <v>12</v>
      </c>
      <c r="E22" s="12" t="s">
        <v>1</v>
      </c>
    </row>
    <row r="23" spans="1:5" ht="12.75">
      <c r="A23" s="14" t="s">
        <v>31</v>
      </c>
      <c r="B23" s="16">
        <f>((C5-0.138)*(C6-C8-0.216))</f>
        <v>4.439008</v>
      </c>
      <c r="C23" s="21">
        <f>B23</f>
        <v>4.439008</v>
      </c>
      <c r="D23" s="16">
        <f>E5</f>
        <v>1</v>
      </c>
      <c r="E23" s="22">
        <f>C23*D23</f>
        <v>4.439008</v>
      </c>
    </row>
    <row r="24" spans="1:5" ht="12.75">
      <c r="A24" s="14" t="s">
        <v>32</v>
      </c>
      <c r="B24" s="16">
        <f>(C5-C7-0.187)*(C8-0.109)</f>
        <v>8.534082999999999</v>
      </c>
      <c r="C24" s="21">
        <f>B24</f>
        <v>8.534082999999999</v>
      </c>
      <c r="D24" s="16">
        <f>E5</f>
        <v>1</v>
      </c>
      <c r="E24" s="22">
        <f>C24*D24</f>
        <v>8.534082999999999</v>
      </c>
    </row>
    <row r="25" spans="1:5" ht="12.75">
      <c r="A25" s="14" t="s">
        <v>33</v>
      </c>
      <c r="B25" s="16">
        <f>(C7-0.052)*(C8-0.109)</f>
        <v>1.9817680000000002</v>
      </c>
      <c r="C25" s="21">
        <f>B25</f>
        <v>1.9817680000000002</v>
      </c>
      <c r="D25" s="16">
        <f>E5</f>
        <v>1</v>
      </c>
      <c r="E25" s="22">
        <f>C25*D25</f>
        <v>1.9817680000000002</v>
      </c>
    </row>
    <row r="26" spans="1:5" ht="12.75">
      <c r="A26" s="7"/>
      <c r="B26" s="8"/>
      <c r="C26" s="23">
        <f>SUM(C23:C25)</f>
        <v>14.954859</v>
      </c>
      <c r="D26" s="8"/>
      <c r="E26" s="20">
        <f>SUM(E23:E25)</f>
        <v>14.954859</v>
      </c>
    </row>
    <row r="27" spans="1:5" ht="12.75">
      <c r="A27" s="7"/>
      <c r="B27" s="8"/>
      <c r="C27" s="8"/>
      <c r="D27" s="8"/>
      <c r="E27" s="9"/>
    </row>
    <row r="28" spans="1:5" ht="15.75">
      <c r="A28" s="6" t="s">
        <v>34</v>
      </c>
      <c r="B28" s="4" t="s">
        <v>6</v>
      </c>
      <c r="C28" s="3" t="s">
        <v>8</v>
      </c>
      <c r="D28" s="2" t="s">
        <v>7</v>
      </c>
      <c r="E28" s="13" t="s">
        <v>11</v>
      </c>
    </row>
    <row r="29" spans="1:5" ht="12.75">
      <c r="A29" s="14" t="s">
        <v>35</v>
      </c>
      <c r="B29" s="16">
        <f>C5-0.138</f>
        <v>5.662</v>
      </c>
      <c r="C29" s="24">
        <f>B29*2</f>
        <v>11.324</v>
      </c>
      <c r="D29" s="24">
        <f>E6</f>
        <v>0.051</v>
      </c>
      <c r="E29" s="22">
        <f>C29*D29</f>
        <v>0.5775239999999999</v>
      </c>
    </row>
    <row r="30" spans="1:5" ht="12.75">
      <c r="A30" s="14" t="s">
        <v>36</v>
      </c>
      <c r="B30" s="16">
        <f>C6-C8-0.216</f>
        <v>0.784</v>
      </c>
      <c r="C30" s="24">
        <f>B30*2</f>
        <v>1.568</v>
      </c>
      <c r="D30" s="24">
        <f>E6</f>
        <v>0.051</v>
      </c>
      <c r="E30" s="22">
        <f>C30*D30</f>
        <v>0.079968</v>
      </c>
    </row>
    <row r="31" spans="1:5" ht="12.75">
      <c r="A31" s="14" t="s">
        <v>37</v>
      </c>
      <c r="B31" s="16">
        <f>C5-C7-0.187</f>
        <v>4.512999999999999</v>
      </c>
      <c r="C31" s="24">
        <f>B31*2</f>
        <v>9.025999999999998</v>
      </c>
      <c r="D31" s="24">
        <f>E6</f>
        <v>0.051</v>
      </c>
      <c r="E31" s="22">
        <f>C31*D31</f>
        <v>0.46032599999999985</v>
      </c>
    </row>
    <row r="32" spans="1:5" ht="12.75">
      <c r="A32" s="14" t="s">
        <v>38</v>
      </c>
      <c r="B32" s="16">
        <f>C7-0.052</f>
        <v>1.048</v>
      </c>
      <c r="C32" s="24">
        <f>B32*2</f>
        <v>2.096</v>
      </c>
      <c r="D32" s="24">
        <f>E6</f>
        <v>0.051</v>
      </c>
      <c r="E32" s="22">
        <f>C32*D32</f>
        <v>0.10689599999999999</v>
      </c>
    </row>
    <row r="33" spans="1:5" ht="12.75">
      <c r="A33" s="14" t="s">
        <v>39</v>
      </c>
      <c r="B33" s="16">
        <f>C8-0.109</f>
        <v>1.891</v>
      </c>
      <c r="C33" s="24">
        <f>B33*4</f>
        <v>7.564</v>
      </c>
      <c r="D33" s="24">
        <f>E6</f>
        <v>0.051</v>
      </c>
      <c r="E33" s="22">
        <f>C33*D33</f>
        <v>0.385764</v>
      </c>
    </row>
    <row r="34" spans="1:5" ht="12.75">
      <c r="A34" s="7"/>
      <c r="B34" s="8"/>
      <c r="C34" s="25">
        <f>SUM(C29:C33)</f>
        <v>31.578</v>
      </c>
      <c r="D34" s="8"/>
      <c r="E34" s="20">
        <f>SUM(E29:E33)</f>
        <v>1.6104779999999996</v>
      </c>
    </row>
    <row r="35" spans="1:5" ht="13.5" thickBot="1">
      <c r="A35" s="7"/>
      <c r="B35" s="8"/>
      <c r="C35" s="8"/>
      <c r="D35" s="8"/>
      <c r="E35" s="9"/>
    </row>
    <row r="36" spans="1:5" ht="27.75" thickBot="1" thickTop="1">
      <c r="A36" s="7"/>
      <c r="B36" s="31" t="s">
        <v>21</v>
      </c>
      <c r="C36" s="100">
        <f>(E20+E26+E34)/(C20+C26)</f>
        <v>1.4208411436781607</v>
      </c>
      <c r="D36" s="101"/>
      <c r="E36" s="9"/>
    </row>
    <row r="37" spans="1:5" ht="15.75" customHeight="1" thickBot="1" thickTop="1">
      <c r="A37" s="40" t="s">
        <v>41</v>
      </c>
      <c r="B37" s="36"/>
      <c r="C37" s="36"/>
      <c r="D37" s="36"/>
      <c r="E37" s="39"/>
    </row>
    <row r="38" spans="1:5" ht="12.75" customHeight="1" thickTop="1">
      <c r="A38" s="89" t="str">
        <f>Glas_Info</f>
        <v>Glazing: Insulated glass 28 mm (2x LSG 6 mm)
heat transfer coefficient UG: 1
Design of joint:
ψ = 0,051 ( = Warm Edge)</v>
      </c>
      <c r="B38" s="90"/>
      <c r="C38" s="90"/>
      <c r="D38" s="90"/>
      <c r="E38" s="91"/>
    </row>
    <row r="39" spans="1:5" ht="12.75" customHeight="1">
      <c r="A39" s="92"/>
      <c r="B39" s="93"/>
      <c r="C39" s="93"/>
      <c r="D39" s="93"/>
      <c r="E39" s="94"/>
    </row>
    <row r="40" spans="1:5" ht="12.75" customHeight="1">
      <c r="A40" s="92"/>
      <c r="B40" s="93"/>
      <c r="C40" s="93"/>
      <c r="D40" s="93"/>
      <c r="E40" s="94"/>
    </row>
    <row r="41" spans="1:5" ht="12.75" customHeight="1">
      <c r="A41" s="92"/>
      <c r="B41" s="93"/>
      <c r="C41" s="93"/>
      <c r="D41" s="93"/>
      <c r="E41" s="94"/>
    </row>
    <row r="42" spans="1:5" ht="12.75" customHeight="1">
      <c r="A42" s="92"/>
      <c r="B42" s="93"/>
      <c r="C42" s="93"/>
      <c r="D42" s="93"/>
      <c r="E42" s="94"/>
    </row>
    <row r="43" spans="1:5" ht="12.75" customHeight="1">
      <c r="A43" s="92"/>
      <c r="B43" s="93"/>
      <c r="C43" s="93"/>
      <c r="D43" s="93"/>
      <c r="E43" s="94"/>
    </row>
    <row r="44" spans="1:5" ht="12.75" customHeight="1">
      <c r="A44" s="92"/>
      <c r="B44" s="93"/>
      <c r="C44" s="93"/>
      <c r="D44" s="93"/>
      <c r="E44" s="94"/>
    </row>
    <row r="45" spans="1:5" ht="12.75" customHeight="1">
      <c r="A45" s="92"/>
      <c r="B45" s="93"/>
      <c r="C45" s="93"/>
      <c r="D45" s="93"/>
      <c r="E45" s="94"/>
    </row>
    <row r="46" spans="1:5" ht="12.75" customHeight="1">
      <c r="A46" s="92"/>
      <c r="B46" s="93"/>
      <c r="C46" s="93"/>
      <c r="D46" s="93"/>
      <c r="E46" s="94"/>
    </row>
    <row r="47" spans="1:5" ht="12.75" customHeight="1" thickBot="1">
      <c r="A47" s="95"/>
      <c r="B47" s="96"/>
      <c r="C47" s="96"/>
      <c r="D47" s="96"/>
      <c r="E47" s="97"/>
    </row>
    <row r="48" spans="1:5" ht="14.25" thickBot="1" thickTop="1">
      <c r="A48" s="79" t="s">
        <v>15</v>
      </c>
      <c r="B48" s="98" t="s">
        <v>154</v>
      </c>
      <c r="C48" s="99"/>
      <c r="D48" s="51" t="s">
        <v>16</v>
      </c>
      <c r="E48" s="83">
        <f>Rev_Datum</f>
        <v>40690</v>
      </c>
    </row>
  </sheetData>
  <sheetProtection password="C65A" sheet="1" objects="1" scenarios="1" selectLockedCells="1"/>
  <mergeCells count="7">
    <mergeCell ref="B48:C48"/>
    <mergeCell ref="C36:D36"/>
    <mergeCell ref="A38:E47"/>
    <mergeCell ref="A1:E1"/>
    <mergeCell ref="A2:E2"/>
    <mergeCell ref="A3:E3"/>
    <mergeCell ref="A4:A9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r:id="rId2"/>
  <headerFooter alignWithMargins="0">
    <oddFooter>&amp;L&amp;8UD-Tool&amp;R&amp;8gedruckt: &amp;D - &amp;T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F48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31.7109375" style="0" customWidth="1"/>
    <col min="2" max="5" width="11.7109375" style="0" customWidth="1"/>
  </cols>
  <sheetData>
    <row r="1" spans="1:6" ht="23.25">
      <c r="A1" s="102" t="s">
        <v>49</v>
      </c>
      <c r="B1" s="103"/>
      <c r="C1" s="103"/>
      <c r="D1" s="103"/>
      <c r="E1" s="104"/>
      <c r="F1" s="76"/>
    </row>
    <row r="2" spans="1:5" ht="15.75">
      <c r="A2" s="105" t="s">
        <v>149</v>
      </c>
      <c r="B2" s="106"/>
      <c r="C2" s="106"/>
      <c r="D2" s="106"/>
      <c r="E2" s="107"/>
    </row>
    <row r="3" spans="1:5" ht="16.5" thickBot="1">
      <c r="A3" s="108" t="s">
        <v>156</v>
      </c>
      <c r="B3" s="109"/>
      <c r="C3" s="109"/>
      <c r="D3" s="109"/>
      <c r="E3" s="110"/>
    </row>
    <row r="4" spans="1:5" ht="13.5" thickBot="1">
      <c r="A4" s="111"/>
      <c r="B4" s="8"/>
      <c r="C4" s="8"/>
      <c r="D4" s="8"/>
      <c r="E4" s="9"/>
    </row>
    <row r="5" spans="1:5" ht="14.25" thickBot="1" thickTop="1">
      <c r="A5" s="112"/>
      <c r="B5" s="26" t="s">
        <v>20</v>
      </c>
      <c r="C5" s="75">
        <f>B_sel/1000</f>
        <v>5.8</v>
      </c>
      <c r="D5" s="37" t="s">
        <v>12</v>
      </c>
      <c r="E5" s="73">
        <f>UG_sel</f>
        <v>1</v>
      </c>
    </row>
    <row r="6" spans="1:5" ht="17.25" thickBot="1" thickTop="1">
      <c r="A6" s="112"/>
      <c r="B6" s="27" t="s">
        <v>19</v>
      </c>
      <c r="C6" s="75">
        <f>H_sel/1000</f>
        <v>3</v>
      </c>
      <c r="D6" s="38" t="s">
        <v>7</v>
      </c>
      <c r="E6" s="74">
        <f>Psi_sel</f>
        <v>0.051</v>
      </c>
    </row>
    <row r="7" spans="1:5" ht="14.25" thickBot="1" thickTop="1">
      <c r="A7" s="112"/>
      <c r="B7" s="27" t="s">
        <v>112</v>
      </c>
      <c r="C7" s="75">
        <f>LW_sel/1000</f>
        <v>1.1</v>
      </c>
      <c r="D7" s="8"/>
      <c r="E7" s="10"/>
    </row>
    <row r="8" spans="1:5" ht="14.25" thickBot="1" thickTop="1">
      <c r="A8" s="112"/>
      <c r="B8" s="28" t="s">
        <v>18</v>
      </c>
      <c r="C8" s="75">
        <f>LH_sel/1000</f>
        <v>2</v>
      </c>
      <c r="D8" s="8"/>
      <c r="E8" s="9"/>
    </row>
    <row r="9" spans="1:5" ht="12.75">
      <c r="A9" s="113"/>
      <c r="B9" s="8"/>
      <c r="C9" s="8"/>
      <c r="D9" s="8"/>
      <c r="E9" s="9"/>
    </row>
    <row r="10" spans="1:5" ht="15.75">
      <c r="A10" s="5" t="s">
        <v>4</v>
      </c>
      <c r="B10" s="3" t="s">
        <v>0</v>
      </c>
      <c r="C10" s="3" t="s">
        <v>3</v>
      </c>
      <c r="D10" s="3" t="s">
        <v>2</v>
      </c>
      <c r="E10" s="11" t="s">
        <v>10</v>
      </c>
    </row>
    <row r="11" spans="1:5" ht="12.75">
      <c r="A11" s="14" t="s">
        <v>22</v>
      </c>
      <c r="B11" s="15">
        <f>(C8-0.043)*0.069</f>
        <v>0.13503300000000001</v>
      </c>
      <c r="C11" s="16">
        <f>B11</f>
        <v>0.13503300000000001</v>
      </c>
      <c r="D11" s="17">
        <v>3.3</v>
      </c>
      <c r="E11" s="18">
        <f aca="true" t="shared" si="0" ref="E11:E19">D11*C11</f>
        <v>0.44560890000000003</v>
      </c>
    </row>
    <row r="12" spans="1:5" ht="12.75">
      <c r="A12" s="14" t="s">
        <v>23</v>
      </c>
      <c r="B12" s="15">
        <f>C5*0.069</f>
        <v>0.4002</v>
      </c>
      <c r="C12" s="16">
        <f>B12</f>
        <v>0.4002</v>
      </c>
      <c r="D12" s="17">
        <v>3.3</v>
      </c>
      <c r="E12" s="18">
        <f t="shared" si="0"/>
        <v>1.32066</v>
      </c>
    </row>
    <row r="13" spans="1:5" ht="12.75">
      <c r="A13" s="14" t="s">
        <v>24</v>
      </c>
      <c r="B13" s="15">
        <f>(C6-C8-0.216)*0.069</f>
        <v>0.054096000000000005</v>
      </c>
      <c r="C13" s="16">
        <f>B13*2</f>
        <v>0.10819200000000001</v>
      </c>
      <c r="D13" s="17">
        <v>3.3</v>
      </c>
      <c r="E13" s="18">
        <f t="shared" si="0"/>
        <v>0.3570336</v>
      </c>
    </row>
    <row r="14" spans="1:5" ht="12.75">
      <c r="A14" s="14" t="s">
        <v>150</v>
      </c>
      <c r="B14" s="15">
        <f>(C8-0.043)*0.12</f>
        <v>0.23484</v>
      </c>
      <c r="C14" s="16">
        <f aca="true" t="shared" si="1" ref="C14:C19">B14</f>
        <v>0.23484</v>
      </c>
      <c r="D14" s="17">
        <v>3.3</v>
      </c>
      <c r="E14" s="18">
        <f t="shared" si="0"/>
        <v>0.7749719999999999</v>
      </c>
    </row>
    <row r="15" spans="1:5" ht="12.75">
      <c r="A15" s="14" t="s">
        <v>26</v>
      </c>
      <c r="B15" s="15">
        <f>(C5-C7-0.187)*0.066</f>
        <v>0.29785799999999996</v>
      </c>
      <c r="C15" s="16">
        <f t="shared" si="1"/>
        <v>0.29785799999999996</v>
      </c>
      <c r="D15" s="17">
        <v>2.9</v>
      </c>
      <c r="E15" s="18">
        <f t="shared" si="0"/>
        <v>0.8637881999999999</v>
      </c>
    </row>
    <row r="16" spans="1:6" ht="12.75">
      <c r="A16" s="14" t="s">
        <v>27</v>
      </c>
      <c r="B16" s="15">
        <f>(C8-0.043)*0.05</f>
        <v>0.09785</v>
      </c>
      <c r="C16" s="16">
        <f t="shared" si="1"/>
        <v>0.09785</v>
      </c>
      <c r="D16" s="17">
        <v>4.1</v>
      </c>
      <c r="E16" s="18">
        <f t="shared" si="0"/>
        <v>0.401185</v>
      </c>
      <c r="F16" t="s">
        <v>13</v>
      </c>
    </row>
    <row r="17" spans="1:5" ht="12.75">
      <c r="A17" s="14" t="s">
        <v>30</v>
      </c>
      <c r="B17" s="15">
        <f>(C5-C7-0.068)*0.19</f>
        <v>0.88008</v>
      </c>
      <c r="C17" s="16">
        <f t="shared" si="1"/>
        <v>0.88008</v>
      </c>
      <c r="D17" s="17">
        <v>3.1</v>
      </c>
      <c r="E17" s="18">
        <f t="shared" si="0"/>
        <v>2.728248</v>
      </c>
    </row>
    <row r="18" spans="1:5" ht="12.75">
      <c r="A18" s="14" t="s">
        <v>29</v>
      </c>
      <c r="B18" s="15">
        <f>(C7-0.052)*0.066</f>
        <v>0.06916800000000001</v>
      </c>
      <c r="C18" s="16">
        <f t="shared" si="1"/>
        <v>0.06916800000000001</v>
      </c>
      <c r="D18" s="17">
        <v>3.4</v>
      </c>
      <c r="E18" s="18">
        <f t="shared" si="0"/>
        <v>0.23517120000000002</v>
      </c>
    </row>
    <row r="19" spans="1:6" ht="12.75">
      <c r="A19" s="14" t="s">
        <v>28</v>
      </c>
      <c r="B19" s="15">
        <f>(C7+0.068)*0.19</f>
        <v>0.22192000000000003</v>
      </c>
      <c r="C19" s="16">
        <f t="shared" si="1"/>
        <v>0.22192000000000003</v>
      </c>
      <c r="D19" s="17">
        <v>4.8</v>
      </c>
      <c r="E19" s="18">
        <f t="shared" si="0"/>
        <v>1.0652160000000002</v>
      </c>
      <c r="F19" t="s">
        <v>13</v>
      </c>
    </row>
    <row r="20" spans="1:5" ht="12.75">
      <c r="A20" s="7"/>
      <c r="B20" s="8"/>
      <c r="C20" s="19">
        <f>SUM(C11:C19)</f>
        <v>2.445141</v>
      </c>
      <c r="D20" s="8"/>
      <c r="E20" s="20">
        <f>SUM(E11:E19)</f>
        <v>8.1918829</v>
      </c>
    </row>
    <row r="21" spans="1:5" ht="12.75">
      <c r="A21" s="7"/>
      <c r="B21" s="8"/>
      <c r="C21" s="8"/>
      <c r="D21" s="8"/>
      <c r="E21" s="9"/>
    </row>
    <row r="22" spans="1:5" ht="15.75">
      <c r="A22" s="5" t="s">
        <v>5</v>
      </c>
      <c r="B22" s="3" t="s">
        <v>0</v>
      </c>
      <c r="C22" s="3" t="s">
        <v>9</v>
      </c>
      <c r="D22" s="1" t="s">
        <v>12</v>
      </c>
      <c r="E22" s="12" t="s">
        <v>1</v>
      </c>
    </row>
    <row r="23" spans="1:5" ht="12.75">
      <c r="A23" s="14" t="s">
        <v>31</v>
      </c>
      <c r="B23" s="16">
        <f>(C5-0.138)*(C6-C8-0.216)</f>
        <v>4.439008</v>
      </c>
      <c r="C23" s="21">
        <f>B23</f>
        <v>4.439008</v>
      </c>
      <c r="D23" s="16">
        <f>E5</f>
        <v>1</v>
      </c>
      <c r="E23" s="22">
        <f>C23*D23</f>
        <v>4.439008</v>
      </c>
    </row>
    <row r="24" spans="1:5" ht="12.75">
      <c r="A24" s="14" t="s">
        <v>32</v>
      </c>
      <c r="B24" s="16">
        <f>(C5-C7-0.187)*(C8-0.109)</f>
        <v>8.534082999999999</v>
      </c>
      <c r="C24" s="21">
        <f>B24</f>
        <v>8.534082999999999</v>
      </c>
      <c r="D24" s="16">
        <f>E5</f>
        <v>1</v>
      </c>
      <c r="E24" s="22">
        <f>C24*D24</f>
        <v>8.534082999999999</v>
      </c>
    </row>
    <row r="25" spans="1:5" ht="12.75">
      <c r="A25" s="14" t="s">
        <v>33</v>
      </c>
      <c r="B25" s="16">
        <f>(C7-0.052)*(C8-0.109)</f>
        <v>1.9817680000000002</v>
      </c>
      <c r="C25" s="21">
        <f>B25</f>
        <v>1.9817680000000002</v>
      </c>
      <c r="D25" s="16">
        <f>E5</f>
        <v>1</v>
      </c>
      <c r="E25" s="22">
        <f>C25*D25</f>
        <v>1.9817680000000002</v>
      </c>
    </row>
    <row r="26" spans="1:5" ht="12.75">
      <c r="A26" s="7"/>
      <c r="B26" s="8"/>
      <c r="C26" s="23">
        <f>SUM(C23:C25)</f>
        <v>14.954859</v>
      </c>
      <c r="D26" s="8"/>
      <c r="E26" s="20">
        <f>SUM(E23:E25)</f>
        <v>14.954859</v>
      </c>
    </row>
    <row r="27" spans="1:5" ht="12.75">
      <c r="A27" s="7"/>
      <c r="B27" s="8"/>
      <c r="C27" s="8"/>
      <c r="D27" s="8"/>
      <c r="E27" s="9"/>
    </row>
    <row r="28" spans="1:5" ht="15.75">
      <c r="A28" s="6" t="s">
        <v>34</v>
      </c>
      <c r="B28" s="4" t="s">
        <v>6</v>
      </c>
      <c r="C28" s="3" t="s">
        <v>8</v>
      </c>
      <c r="D28" s="2" t="s">
        <v>7</v>
      </c>
      <c r="E28" s="13" t="s">
        <v>11</v>
      </c>
    </row>
    <row r="29" spans="1:5" ht="12.75">
      <c r="A29" s="14" t="s">
        <v>35</v>
      </c>
      <c r="B29" s="16">
        <f>C5-0.138</f>
        <v>5.662</v>
      </c>
      <c r="C29" s="24">
        <f>B29*2</f>
        <v>11.324</v>
      </c>
      <c r="D29" s="24">
        <f>E6</f>
        <v>0.051</v>
      </c>
      <c r="E29" s="22">
        <f>C29*D29</f>
        <v>0.5775239999999999</v>
      </c>
    </row>
    <row r="30" spans="1:5" ht="12.75">
      <c r="A30" s="14" t="s">
        <v>36</v>
      </c>
      <c r="B30" s="16">
        <f>C6-C8-0.216</f>
        <v>0.784</v>
      </c>
      <c r="C30" s="24">
        <f>B30*2</f>
        <v>1.568</v>
      </c>
      <c r="D30" s="24">
        <f>E6</f>
        <v>0.051</v>
      </c>
      <c r="E30" s="22">
        <f>C30*D30</f>
        <v>0.079968</v>
      </c>
    </row>
    <row r="31" spans="1:5" ht="12.75">
      <c r="A31" s="14" t="s">
        <v>37</v>
      </c>
      <c r="B31" s="16">
        <f>C5-C7-0.187</f>
        <v>4.512999999999999</v>
      </c>
      <c r="C31" s="24">
        <f>B31*2</f>
        <v>9.025999999999998</v>
      </c>
      <c r="D31" s="24">
        <f>E6</f>
        <v>0.051</v>
      </c>
      <c r="E31" s="22">
        <f>C31*D31</f>
        <v>0.46032599999999985</v>
      </c>
    </row>
    <row r="32" spans="1:5" ht="12.75">
      <c r="A32" s="14" t="s">
        <v>38</v>
      </c>
      <c r="B32" s="16">
        <f>C7-0.052</f>
        <v>1.048</v>
      </c>
      <c r="C32" s="24">
        <f>B32*2</f>
        <v>2.096</v>
      </c>
      <c r="D32" s="24">
        <f>E6</f>
        <v>0.051</v>
      </c>
      <c r="E32" s="22">
        <f>C32*D32</f>
        <v>0.10689599999999999</v>
      </c>
    </row>
    <row r="33" spans="1:5" ht="12.75">
      <c r="A33" s="14" t="s">
        <v>39</v>
      </c>
      <c r="B33" s="16">
        <f>C8-0.109</f>
        <v>1.891</v>
      </c>
      <c r="C33" s="24">
        <f>B33*4</f>
        <v>7.564</v>
      </c>
      <c r="D33" s="24">
        <f>E6</f>
        <v>0.051</v>
      </c>
      <c r="E33" s="22">
        <f>C33*D33</f>
        <v>0.385764</v>
      </c>
    </row>
    <row r="34" spans="1:5" ht="12.75">
      <c r="A34" s="7"/>
      <c r="B34" s="8"/>
      <c r="C34" s="25">
        <f>SUM(C29:C33)</f>
        <v>31.578</v>
      </c>
      <c r="D34" s="8"/>
      <c r="E34" s="20">
        <f>SUM(E29:E33)</f>
        <v>1.6104779999999996</v>
      </c>
    </row>
    <row r="35" spans="1:5" ht="13.5" thickBot="1">
      <c r="A35" s="7"/>
      <c r="B35" s="8"/>
      <c r="C35" s="8"/>
      <c r="D35" s="8"/>
      <c r="E35" s="9"/>
    </row>
    <row r="36" spans="1:5" ht="27.75" thickBot="1" thickTop="1">
      <c r="A36" s="7"/>
      <c r="B36" s="31" t="s">
        <v>21</v>
      </c>
      <c r="C36" s="100">
        <f>(E20+E26+E34)/(C20+C26)</f>
        <v>1.4228287298850575</v>
      </c>
      <c r="D36" s="101"/>
      <c r="E36" s="9"/>
    </row>
    <row r="37" spans="1:5" ht="15.75" customHeight="1" thickBot="1" thickTop="1">
      <c r="A37" s="40" t="s">
        <v>41</v>
      </c>
      <c r="B37" s="36"/>
      <c r="C37" s="36"/>
      <c r="D37" s="36"/>
      <c r="E37" s="39"/>
    </row>
    <row r="38" spans="1:5" ht="12.75" customHeight="1" thickTop="1">
      <c r="A38" s="89" t="str">
        <f>Glas_Info</f>
        <v>Glazing: Insulated glass 28 mm (2x LSG 6 mm)
heat transfer coefficient UG: 1
Design of joint:
ψ = 0,051 ( = Warm Edge)</v>
      </c>
      <c r="B38" s="90"/>
      <c r="C38" s="90"/>
      <c r="D38" s="90"/>
      <c r="E38" s="91"/>
    </row>
    <row r="39" spans="1:5" ht="12.75" customHeight="1">
      <c r="A39" s="92"/>
      <c r="B39" s="93"/>
      <c r="C39" s="93"/>
      <c r="D39" s="93"/>
      <c r="E39" s="94"/>
    </row>
    <row r="40" spans="1:5" ht="12.75" customHeight="1">
      <c r="A40" s="92"/>
      <c r="B40" s="93"/>
      <c r="C40" s="93"/>
      <c r="D40" s="93"/>
      <c r="E40" s="94"/>
    </row>
    <row r="41" spans="1:5" ht="12.75" customHeight="1">
      <c r="A41" s="92"/>
      <c r="B41" s="93"/>
      <c r="C41" s="93"/>
      <c r="D41" s="93"/>
      <c r="E41" s="94"/>
    </row>
    <row r="42" spans="1:5" ht="12.75" customHeight="1">
      <c r="A42" s="92"/>
      <c r="B42" s="93"/>
      <c r="C42" s="93"/>
      <c r="D42" s="93"/>
      <c r="E42" s="94"/>
    </row>
    <row r="43" spans="1:5" ht="12.75" customHeight="1">
      <c r="A43" s="92"/>
      <c r="B43" s="93"/>
      <c r="C43" s="93"/>
      <c r="D43" s="93"/>
      <c r="E43" s="94"/>
    </row>
    <row r="44" spans="1:5" ht="12.75" customHeight="1">
      <c r="A44" s="92"/>
      <c r="B44" s="93"/>
      <c r="C44" s="93"/>
      <c r="D44" s="93"/>
      <c r="E44" s="94"/>
    </row>
    <row r="45" spans="1:5" ht="12.75" customHeight="1">
      <c r="A45" s="92"/>
      <c r="B45" s="93"/>
      <c r="C45" s="93"/>
      <c r="D45" s="93"/>
      <c r="E45" s="94"/>
    </row>
    <row r="46" spans="1:5" ht="12.75" customHeight="1">
      <c r="A46" s="92"/>
      <c r="B46" s="93"/>
      <c r="C46" s="93"/>
      <c r="D46" s="93"/>
      <c r="E46" s="94"/>
    </row>
    <row r="47" spans="1:5" ht="12.75" customHeight="1" thickBot="1">
      <c r="A47" s="95"/>
      <c r="B47" s="96"/>
      <c r="C47" s="96"/>
      <c r="D47" s="96"/>
      <c r="E47" s="97"/>
    </row>
    <row r="48" spans="1:5" ht="14.25" thickBot="1" thickTop="1">
      <c r="A48" s="79" t="s">
        <v>15</v>
      </c>
      <c r="B48" s="98" t="s">
        <v>154</v>
      </c>
      <c r="C48" s="99"/>
      <c r="D48" s="51" t="s">
        <v>16</v>
      </c>
      <c r="E48" s="83">
        <f>Rev_Datum</f>
        <v>40690</v>
      </c>
    </row>
  </sheetData>
  <sheetProtection password="C65A" sheet="1" objects="1" scenarios="1" selectLockedCells="1"/>
  <mergeCells count="7">
    <mergeCell ref="B48:C48"/>
    <mergeCell ref="C36:D36"/>
    <mergeCell ref="A38:E47"/>
    <mergeCell ref="A1:E1"/>
    <mergeCell ref="A2:E2"/>
    <mergeCell ref="A3:E3"/>
    <mergeCell ref="A4:A9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r:id="rId2"/>
  <headerFooter alignWithMargins="0">
    <oddFooter>&amp;L&amp;8UD-Tool&amp;R&amp;8gedruckt: &amp;D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02">
    <pageSetUpPr fitToPage="1"/>
  </sheetPr>
  <dimension ref="A1:M4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" sqref="F1"/>
    </sheetView>
  </sheetViews>
  <sheetFormatPr defaultColWidth="11.421875" defaultRowHeight="12.75"/>
  <cols>
    <col min="1" max="1" width="31.7109375" style="0" customWidth="1"/>
    <col min="2" max="5" width="11.7109375" style="0" customWidth="1"/>
  </cols>
  <sheetData>
    <row r="1" spans="1:13" ht="23.25">
      <c r="A1" s="102" t="s">
        <v>49</v>
      </c>
      <c r="B1" s="103"/>
      <c r="C1" s="103"/>
      <c r="D1" s="103"/>
      <c r="E1" s="104"/>
      <c r="F1" s="76"/>
      <c r="M1" s="35"/>
    </row>
    <row r="2" spans="1:5" ht="15.75">
      <c r="A2" s="105" t="s">
        <v>45</v>
      </c>
      <c r="B2" s="106"/>
      <c r="C2" s="106"/>
      <c r="D2" s="106"/>
      <c r="E2" s="107"/>
    </row>
    <row r="3" spans="1:5" ht="16.5" thickBot="1">
      <c r="A3" s="108" t="s">
        <v>155</v>
      </c>
      <c r="B3" s="109"/>
      <c r="C3" s="109"/>
      <c r="D3" s="109"/>
      <c r="E3" s="110"/>
    </row>
    <row r="4" spans="1:5" ht="14.25" customHeight="1" thickBot="1">
      <c r="A4" s="111"/>
      <c r="B4" s="8"/>
      <c r="C4" s="8"/>
      <c r="D4" s="8"/>
      <c r="E4" s="9"/>
    </row>
    <row r="5" spans="1:5" ht="14.25" customHeight="1" thickBot="1" thickTop="1">
      <c r="A5" s="112"/>
      <c r="B5" s="27" t="s">
        <v>112</v>
      </c>
      <c r="C5" s="72">
        <f>LW_sel/1000</f>
        <v>1.1</v>
      </c>
      <c r="D5" s="37" t="s">
        <v>12</v>
      </c>
      <c r="E5" s="73">
        <f>UG_sel</f>
        <v>1</v>
      </c>
    </row>
    <row r="6" spans="1:5" ht="14.25" customHeight="1" thickBot="1" thickTop="1">
      <c r="A6" s="112"/>
      <c r="B6" s="28" t="s">
        <v>18</v>
      </c>
      <c r="C6" s="72">
        <f>LH_sel/1000</f>
        <v>2</v>
      </c>
      <c r="D6" s="38" t="s">
        <v>7</v>
      </c>
      <c r="E6" s="74">
        <f>Psi_sel</f>
        <v>0.051</v>
      </c>
    </row>
    <row r="7" spans="1:5" ht="14.25" customHeight="1">
      <c r="A7" s="112"/>
      <c r="B7" s="35"/>
      <c r="C7" s="35"/>
      <c r="D7" s="8"/>
      <c r="E7" s="9"/>
    </row>
    <row r="8" spans="1:5" ht="14.25" customHeight="1">
      <c r="A8" s="112"/>
      <c r="B8" s="8"/>
      <c r="C8" s="8"/>
      <c r="D8" s="8"/>
      <c r="E8" s="9"/>
    </row>
    <row r="9" spans="1:5" ht="14.25" customHeight="1">
      <c r="A9" s="113"/>
      <c r="B9" s="8"/>
      <c r="C9" s="8"/>
      <c r="D9" s="8"/>
      <c r="E9" s="9"/>
    </row>
    <row r="10" spans="1:5" ht="15.75">
      <c r="A10" s="5" t="s">
        <v>4</v>
      </c>
      <c r="B10" s="3" t="s">
        <v>0</v>
      </c>
      <c r="C10" s="3" t="s">
        <v>3</v>
      </c>
      <c r="D10" s="3" t="s">
        <v>2</v>
      </c>
      <c r="E10" s="11" t="s">
        <v>10</v>
      </c>
    </row>
    <row r="11" spans="1:5" ht="12.75">
      <c r="A11" s="14" t="s">
        <v>25</v>
      </c>
      <c r="B11" s="16">
        <f>(C6-0.043)*0.104</f>
        <v>0.203528</v>
      </c>
      <c r="C11" s="16">
        <f>B11</f>
        <v>0.203528</v>
      </c>
      <c r="D11" s="17">
        <v>2.9</v>
      </c>
      <c r="E11" s="18">
        <f>D11*C11</f>
        <v>0.5902312</v>
      </c>
    </row>
    <row r="12" spans="1:6" ht="12.75">
      <c r="A12" s="14" t="s">
        <v>46</v>
      </c>
      <c r="B12" s="16">
        <f>(C6-0.043)*0.05</f>
        <v>0.09785</v>
      </c>
      <c r="C12" s="16">
        <f>B12*2</f>
        <v>0.1957</v>
      </c>
      <c r="D12" s="17">
        <v>2.9</v>
      </c>
      <c r="E12" s="18">
        <f>D12*C12</f>
        <v>0.56753</v>
      </c>
      <c r="F12" t="s">
        <v>13</v>
      </c>
    </row>
    <row r="13" spans="1:5" ht="12.75">
      <c r="A13" s="14" t="s">
        <v>42</v>
      </c>
      <c r="B13" s="16">
        <f>(C5/2-0.052)*0.066</f>
        <v>0.03286800000000001</v>
      </c>
      <c r="C13" s="16">
        <f>B13*2</f>
        <v>0.06573600000000002</v>
      </c>
      <c r="D13" s="17">
        <v>2.9</v>
      </c>
      <c r="E13" s="18">
        <f>D13*C13</f>
        <v>0.19063440000000004</v>
      </c>
    </row>
    <row r="14" spans="1:6" ht="12.75">
      <c r="A14" s="14" t="s">
        <v>47</v>
      </c>
      <c r="B14" s="16">
        <f>(C5+0.1)*0.147</f>
        <v>0.17640000000000003</v>
      </c>
      <c r="C14" s="16">
        <f>B14</f>
        <v>0.17640000000000003</v>
      </c>
      <c r="D14" s="17">
        <v>2.9</v>
      </c>
      <c r="E14" s="18">
        <f>D14*C14</f>
        <v>0.51156</v>
      </c>
      <c r="F14" t="s">
        <v>13</v>
      </c>
    </row>
    <row r="15" spans="1:5" ht="12.75">
      <c r="A15" s="7"/>
      <c r="B15" s="8"/>
      <c r="C15" s="19">
        <f>SUM(C11:C14)</f>
        <v>0.641364</v>
      </c>
      <c r="D15" s="8"/>
      <c r="E15" s="20">
        <f>SUM(E11:E14)</f>
        <v>1.8599556</v>
      </c>
    </row>
    <row r="16" spans="1:5" ht="12.75">
      <c r="A16" s="7"/>
      <c r="B16" s="8"/>
      <c r="C16" s="41"/>
      <c r="D16" s="8"/>
      <c r="E16" s="46"/>
    </row>
    <row r="17" spans="1:5" ht="15.75">
      <c r="A17" s="5" t="s">
        <v>5</v>
      </c>
      <c r="B17" s="3" t="s">
        <v>0</v>
      </c>
      <c r="C17" s="42" t="s">
        <v>9</v>
      </c>
      <c r="D17" s="1" t="s">
        <v>12</v>
      </c>
      <c r="E17" s="47" t="s">
        <v>1</v>
      </c>
    </row>
    <row r="18" spans="1:5" ht="12.75">
      <c r="A18" s="14" t="s">
        <v>33</v>
      </c>
      <c r="B18" s="16">
        <f>((C5/2-0.052)*(C6-0.109))</f>
        <v>0.941718</v>
      </c>
      <c r="C18" s="21">
        <f>B18*2</f>
        <v>1.883436</v>
      </c>
      <c r="D18" s="16">
        <f>E5</f>
        <v>1</v>
      </c>
      <c r="E18" s="22">
        <f>C18*D18</f>
        <v>1.883436</v>
      </c>
    </row>
    <row r="19" spans="1:5" ht="12.75">
      <c r="A19" s="7"/>
      <c r="B19" s="8"/>
      <c r="C19" s="23">
        <f>SUM(C18:C18)</f>
        <v>1.883436</v>
      </c>
      <c r="D19" s="8"/>
      <c r="E19" s="20">
        <f>SUM(E18:E18)</f>
        <v>1.883436</v>
      </c>
    </row>
    <row r="20" spans="1:5" ht="12.75">
      <c r="A20" s="7"/>
      <c r="B20" s="8"/>
      <c r="C20" s="41"/>
      <c r="D20" s="8"/>
      <c r="E20" s="46"/>
    </row>
    <row r="21" spans="1:5" ht="15.75">
      <c r="A21" s="6" t="s">
        <v>34</v>
      </c>
      <c r="B21" s="4" t="s">
        <v>6</v>
      </c>
      <c r="C21" s="42" t="s">
        <v>8</v>
      </c>
      <c r="D21" s="2" t="s">
        <v>7</v>
      </c>
      <c r="E21" s="48" t="s">
        <v>11</v>
      </c>
    </row>
    <row r="22" spans="1:5" ht="12.75">
      <c r="A22" s="14" t="s">
        <v>38</v>
      </c>
      <c r="B22" s="24">
        <f>C5/2-0.052</f>
        <v>0.49800000000000005</v>
      </c>
      <c r="C22" s="16">
        <f>B22*4</f>
        <v>1.9920000000000002</v>
      </c>
      <c r="D22" s="24">
        <f>E6</f>
        <v>0.051</v>
      </c>
      <c r="E22" s="22">
        <f>C22*D22</f>
        <v>0.101592</v>
      </c>
    </row>
    <row r="23" spans="1:5" ht="12.75">
      <c r="A23" s="14" t="s">
        <v>48</v>
      </c>
      <c r="B23" s="16">
        <f>C6-0.109</f>
        <v>1.891</v>
      </c>
      <c r="C23" s="16">
        <f>B23*4</f>
        <v>7.564</v>
      </c>
      <c r="D23" s="24">
        <f>E6</f>
        <v>0.051</v>
      </c>
      <c r="E23" s="22">
        <f>C23*D23</f>
        <v>0.385764</v>
      </c>
    </row>
    <row r="24" spans="1:5" ht="12.75">
      <c r="A24" s="7"/>
      <c r="B24" s="8"/>
      <c r="C24" s="19">
        <f>SUM(C22:C23)</f>
        <v>9.556000000000001</v>
      </c>
      <c r="D24" s="8"/>
      <c r="E24" s="20">
        <f>SUM(E22:E23)</f>
        <v>0.487356</v>
      </c>
    </row>
    <row r="25" spans="1:5" ht="13.5" thickBot="1">
      <c r="A25" s="7"/>
      <c r="B25" s="8"/>
      <c r="C25" s="49"/>
      <c r="D25" s="8"/>
      <c r="E25" s="50"/>
    </row>
    <row r="26" spans="1:5" ht="27.75" thickBot="1" thickTop="1">
      <c r="A26" s="7"/>
      <c r="B26" s="31" t="s">
        <v>21</v>
      </c>
      <c r="C26" s="100">
        <f>(E15+E19+E24)/(C15+C19)</f>
        <v>1.6756763307984792</v>
      </c>
      <c r="D26" s="101"/>
      <c r="E26" s="9"/>
    </row>
    <row r="27" spans="1:5" ht="24" thickTop="1">
      <c r="A27" s="7"/>
      <c r="B27" s="43"/>
      <c r="C27" s="53"/>
      <c r="D27" s="53"/>
      <c r="E27" s="9"/>
    </row>
    <row r="28" spans="1:5" ht="16.5" customHeight="1">
      <c r="A28" s="7"/>
      <c r="B28" s="43"/>
      <c r="C28" s="53"/>
      <c r="D28" s="53"/>
      <c r="E28" s="9"/>
    </row>
    <row r="29" spans="1:5" ht="23.25">
      <c r="A29" s="7"/>
      <c r="B29" s="43"/>
      <c r="C29" s="53"/>
      <c r="D29" s="53"/>
      <c r="E29" s="9"/>
    </row>
    <row r="30" spans="1:5" ht="23.25">
      <c r="A30" s="7"/>
      <c r="B30" s="43"/>
      <c r="C30" s="53" t="s">
        <v>13</v>
      </c>
      <c r="D30" s="44"/>
      <c r="E30" s="9"/>
    </row>
    <row r="31" spans="1:5" ht="16.5" thickBot="1">
      <c r="A31" s="45" t="s">
        <v>41</v>
      </c>
      <c r="B31" s="8"/>
      <c r="C31" s="8"/>
      <c r="D31" s="8"/>
      <c r="E31" s="9"/>
    </row>
    <row r="32" spans="1:5" ht="12.75" customHeight="1" thickTop="1">
      <c r="A32" s="89" t="str">
        <f>Glas_Info</f>
        <v>Glazing: Insulated glass 28 mm (2x LSG 6 mm)
heat transfer coefficient UG: 1
Design of joint:
ψ = 0,051 ( = Warm Edge)</v>
      </c>
      <c r="B32" s="90"/>
      <c r="C32" s="90"/>
      <c r="D32" s="90"/>
      <c r="E32" s="91"/>
    </row>
    <row r="33" spans="1:5" ht="12.75" customHeight="1">
      <c r="A33" s="92"/>
      <c r="B33" s="93"/>
      <c r="C33" s="93"/>
      <c r="D33" s="93"/>
      <c r="E33" s="94"/>
    </row>
    <row r="34" spans="1:5" ht="12.75" customHeight="1">
      <c r="A34" s="92"/>
      <c r="B34" s="93"/>
      <c r="C34" s="93"/>
      <c r="D34" s="93"/>
      <c r="E34" s="94"/>
    </row>
    <row r="35" spans="1:5" ht="12.75" customHeight="1">
      <c r="A35" s="92"/>
      <c r="B35" s="93"/>
      <c r="C35" s="93"/>
      <c r="D35" s="93"/>
      <c r="E35" s="94"/>
    </row>
    <row r="36" spans="1:5" ht="12.75" customHeight="1">
      <c r="A36" s="92"/>
      <c r="B36" s="93"/>
      <c r="C36" s="93"/>
      <c r="D36" s="93"/>
      <c r="E36" s="94"/>
    </row>
    <row r="37" spans="1:5" ht="12.75" customHeight="1">
      <c r="A37" s="92"/>
      <c r="B37" s="93"/>
      <c r="C37" s="93"/>
      <c r="D37" s="93"/>
      <c r="E37" s="94"/>
    </row>
    <row r="38" spans="1:5" ht="12.75" customHeight="1">
      <c r="A38" s="92"/>
      <c r="B38" s="93"/>
      <c r="C38" s="93"/>
      <c r="D38" s="93"/>
      <c r="E38" s="94"/>
    </row>
    <row r="39" spans="1:5" ht="12.75" customHeight="1">
      <c r="A39" s="92"/>
      <c r="B39" s="93"/>
      <c r="C39" s="93"/>
      <c r="D39" s="93"/>
      <c r="E39" s="94"/>
    </row>
    <row r="40" spans="1:5" ht="12.75" customHeight="1">
      <c r="A40" s="92"/>
      <c r="B40" s="93"/>
      <c r="C40" s="93"/>
      <c r="D40" s="93"/>
      <c r="E40" s="94"/>
    </row>
    <row r="41" spans="1:5" ht="12.75" customHeight="1" thickBot="1">
      <c r="A41" s="95"/>
      <c r="B41" s="96"/>
      <c r="C41" s="96"/>
      <c r="D41" s="96"/>
      <c r="E41" s="97"/>
    </row>
    <row r="42" spans="1:5" ht="14.25" thickBot="1" thickTop="1">
      <c r="A42" s="78" t="s">
        <v>15</v>
      </c>
      <c r="B42" s="98" t="s">
        <v>154</v>
      </c>
      <c r="C42" s="99"/>
      <c r="D42" s="52" t="s">
        <v>16</v>
      </c>
      <c r="E42" s="83">
        <f>Rev_Datum</f>
        <v>40690</v>
      </c>
    </row>
  </sheetData>
  <sheetProtection password="C65A" sheet="1" objects="1" scenarios="1" selectLockedCells="1"/>
  <mergeCells count="7">
    <mergeCell ref="A32:E41"/>
    <mergeCell ref="B42:C42"/>
    <mergeCell ref="C26:D26"/>
    <mergeCell ref="A1:E1"/>
    <mergeCell ref="A2:E2"/>
    <mergeCell ref="A3:E3"/>
    <mergeCell ref="A4:A9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r:id="rId2"/>
  <headerFooter alignWithMargins="0">
    <oddFooter>&amp;L&amp;8UD-Tool&amp;R&amp;8gedruckt: &amp;D -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03">
    <pageSetUpPr fitToPage="1"/>
  </sheetPr>
  <dimension ref="A1:M4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" sqref="F1"/>
    </sheetView>
  </sheetViews>
  <sheetFormatPr defaultColWidth="11.421875" defaultRowHeight="12.75"/>
  <cols>
    <col min="1" max="1" width="31.7109375" style="0" customWidth="1"/>
    <col min="2" max="5" width="11.7109375" style="0" customWidth="1"/>
  </cols>
  <sheetData>
    <row r="1" spans="1:13" ht="23.25">
      <c r="A1" s="102" t="s">
        <v>49</v>
      </c>
      <c r="B1" s="103"/>
      <c r="C1" s="103"/>
      <c r="D1" s="103"/>
      <c r="E1" s="104"/>
      <c r="F1" s="76"/>
      <c r="M1" s="35"/>
    </row>
    <row r="2" spans="1:5" ht="15.75">
      <c r="A2" s="105" t="s">
        <v>45</v>
      </c>
      <c r="B2" s="106"/>
      <c r="C2" s="106"/>
      <c r="D2" s="106"/>
      <c r="E2" s="107"/>
    </row>
    <row r="3" spans="1:5" ht="16.5" thickBot="1">
      <c r="A3" s="108" t="s">
        <v>156</v>
      </c>
      <c r="B3" s="109"/>
      <c r="C3" s="109"/>
      <c r="D3" s="109"/>
      <c r="E3" s="110"/>
    </row>
    <row r="4" spans="1:5" ht="14.25" customHeight="1" thickBot="1">
      <c r="A4" s="111"/>
      <c r="B4" s="8"/>
      <c r="C4" s="8"/>
      <c r="D4" s="8"/>
      <c r="E4" s="9"/>
    </row>
    <row r="5" spans="1:5" ht="14.25" customHeight="1" thickBot="1" thickTop="1">
      <c r="A5" s="112"/>
      <c r="B5" s="27" t="s">
        <v>112</v>
      </c>
      <c r="C5" s="72">
        <f>LW_sel/1000</f>
        <v>1.1</v>
      </c>
      <c r="D5" s="37" t="s">
        <v>12</v>
      </c>
      <c r="E5" s="73">
        <f>UG_sel</f>
        <v>1</v>
      </c>
    </row>
    <row r="6" spans="1:5" ht="14.25" customHeight="1" thickBot="1" thickTop="1">
      <c r="A6" s="112"/>
      <c r="B6" s="28" t="s">
        <v>18</v>
      </c>
      <c r="C6" s="72">
        <f>LH_sel/1000</f>
        <v>2</v>
      </c>
      <c r="D6" s="38" t="s">
        <v>7</v>
      </c>
      <c r="E6" s="74">
        <f>Psi_sel</f>
        <v>0.051</v>
      </c>
    </row>
    <row r="7" spans="1:5" ht="14.25" customHeight="1">
      <c r="A7" s="112"/>
      <c r="B7" s="35"/>
      <c r="C7" s="35"/>
      <c r="D7" s="8"/>
      <c r="E7" s="9"/>
    </row>
    <row r="8" spans="1:5" ht="14.25" customHeight="1">
      <c r="A8" s="112"/>
      <c r="B8" s="8"/>
      <c r="C8" s="8"/>
      <c r="D8" s="8"/>
      <c r="E8" s="9"/>
    </row>
    <row r="9" spans="1:5" ht="14.25" customHeight="1">
      <c r="A9" s="113"/>
      <c r="B9" s="8"/>
      <c r="C9" s="8"/>
      <c r="D9" s="8"/>
      <c r="E9" s="9"/>
    </row>
    <row r="10" spans="1:5" ht="15.75">
      <c r="A10" s="5" t="s">
        <v>4</v>
      </c>
      <c r="B10" s="3" t="s">
        <v>0</v>
      </c>
      <c r="C10" s="3" t="s">
        <v>3</v>
      </c>
      <c r="D10" s="3" t="s">
        <v>2</v>
      </c>
      <c r="E10" s="11" t="s">
        <v>10</v>
      </c>
    </row>
    <row r="11" spans="1:5" ht="12.75">
      <c r="A11" s="14" t="s">
        <v>25</v>
      </c>
      <c r="B11" s="16">
        <f>(C6-0.043)*0.104</f>
        <v>0.203528</v>
      </c>
      <c r="C11" s="16">
        <f>B11</f>
        <v>0.203528</v>
      </c>
      <c r="D11" s="17">
        <v>2.9</v>
      </c>
      <c r="E11" s="18">
        <f>D11*C11</f>
        <v>0.5902312</v>
      </c>
    </row>
    <row r="12" spans="1:6" ht="12.75">
      <c r="A12" s="14" t="s">
        <v>46</v>
      </c>
      <c r="B12" s="16">
        <f>(C6-0.043)*0.05</f>
        <v>0.09785</v>
      </c>
      <c r="C12" s="16">
        <f>B12*2</f>
        <v>0.1957</v>
      </c>
      <c r="D12" s="17">
        <v>2.9</v>
      </c>
      <c r="E12" s="18">
        <f>D12*C12</f>
        <v>0.56753</v>
      </c>
      <c r="F12" t="s">
        <v>13</v>
      </c>
    </row>
    <row r="13" spans="1:5" ht="12.75">
      <c r="A13" s="14" t="s">
        <v>29</v>
      </c>
      <c r="B13" s="16">
        <f>(C5/2-0.052)*0.066</f>
        <v>0.03286800000000001</v>
      </c>
      <c r="C13" s="16">
        <f>B13*2</f>
        <v>0.06573600000000002</v>
      </c>
      <c r="D13" s="17">
        <v>3.4</v>
      </c>
      <c r="E13" s="18">
        <f>D13*C13</f>
        <v>0.22350240000000005</v>
      </c>
    </row>
    <row r="14" spans="1:6" ht="12.75">
      <c r="A14" s="14" t="s">
        <v>47</v>
      </c>
      <c r="B14" s="16">
        <f>(C5+0.1)*0.147</f>
        <v>0.17640000000000003</v>
      </c>
      <c r="C14" s="16">
        <f>B14</f>
        <v>0.17640000000000003</v>
      </c>
      <c r="D14" s="17">
        <v>2.9</v>
      </c>
      <c r="E14" s="18">
        <f>D14*C14</f>
        <v>0.51156</v>
      </c>
      <c r="F14" t="s">
        <v>13</v>
      </c>
    </row>
    <row r="15" spans="1:5" ht="12.75">
      <c r="A15" s="7"/>
      <c r="B15" s="8"/>
      <c r="C15" s="19">
        <f>SUM(C11:C14)</f>
        <v>0.641364</v>
      </c>
      <c r="D15" s="8"/>
      <c r="E15" s="20">
        <f>SUM(E11:E14)</f>
        <v>1.8928236</v>
      </c>
    </row>
    <row r="16" spans="1:5" ht="12.75">
      <c r="A16" s="7"/>
      <c r="B16" s="8"/>
      <c r="C16" s="41"/>
      <c r="D16" s="8"/>
      <c r="E16" s="46"/>
    </row>
    <row r="17" spans="1:5" ht="15.75">
      <c r="A17" s="5" t="s">
        <v>5</v>
      </c>
      <c r="B17" s="3" t="s">
        <v>0</v>
      </c>
      <c r="C17" s="42" t="s">
        <v>9</v>
      </c>
      <c r="D17" s="1" t="s">
        <v>12</v>
      </c>
      <c r="E17" s="47" t="s">
        <v>1</v>
      </c>
    </row>
    <row r="18" spans="1:5" ht="12.75">
      <c r="A18" s="14" t="s">
        <v>33</v>
      </c>
      <c r="B18" s="16">
        <f>((C5/2-0.052)*(C6-0.109))</f>
        <v>0.941718</v>
      </c>
      <c r="C18" s="21">
        <f>B18*2</f>
        <v>1.883436</v>
      </c>
      <c r="D18" s="16">
        <f>E5</f>
        <v>1</v>
      </c>
      <c r="E18" s="22">
        <f>C18*D18</f>
        <v>1.883436</v>
      </c>
    </row>
    <row r="19" spans="1:5" ht="12.75">
      <c r="A19" s="7"/>
      <c r="B19" s="8"/>
      <c r="C19" s="23">
        <f>SUM(C18:C18)</f>
        <v>1.883436</v>
      </c>
      <c r="D19" s="8"/>
      <c r="E19" s="20">
        <f>SUM(E18:E18)</f>
        <v>1.883436</v>
      </c>
    </row>
    <row r="20" spans="1:5" ht="12.75">
      <c r="A20" s="7"/>
      <c r="B20" s="8"/>
      <c r="C20" s="41"/>
      <c r="D20" s="8"/>
      <c r="E20" s="46"/>
    </row>
    <row r="21" spans="1:5" ht="15.75">
      <c r="A21" s="6" t="s">
        <v>34</v>
      </c>
      <c r="B21" s="4" t="s">
        <v>6</v>
      </c>
      <c r="C21" s="42" t="s">
        <v>8</v>
      </c>
      <c r="D21" s="2" t="s">
        <v>7</v>
      </c>
      <c r="E21" s="48" t="s">
        <v>11</v>
      </c>
    </row>
    <row r="22" spans="1:5" ht="12.75">
      <c r="A22" s="14" t="s">
        <v>38</v>
      </c>
      <c r="B22" s="24">
        <f>C5/2-0.052</f>
        <v>0.49800000000000005</v>
      </c>
      <c r="C22" s="16">
        <f>B22*4</f>
        <v>1.9920000000000002</v>
      </c>
      <c r="D22" s="24">
        <f>E6</f>
        <v>0.051</v>
      </c>
      <c r="E22" s="22">
        <f>C22*D22</f>
        <v>0.101592</v>
      </c>
    </row>
    <row r="23" spans="1:5" ht="12.75">
      <c r="A23" s="14" t="s">
        <v>48</v>
      </c>
      <c r="B23" s="16">
        <f>C6-0.109</f>
        <v>1.891</v>
      </c>
      <c r="C23" s="16">
        <f>B23*4</f>
        <v>7.564</v>
      </c>
      <c r="D23" s="24">
        <f>E6</f>
        <v>0.051</v>
      </c>
      <c r="E23" s="22">
        <f>C23*D23</f>
        <v>0.385764</v>
      </c>
    </row>
    <row r="24" spans="1:5" ht="12.75">
      <c r="A24" s="7"/>
      <c r="B24" s="8"/>
      <c r="C24" s="19">
        <f>SUM(C22:C23)</f>
        <v>9.556000000000001</v>
      </c>
      <c r="D24" s="8"/>
      <c r="E24" s="20">
        <f>SUM(E22:E23)</f>
        <v>0.487356</v>
      </c>
    </row>
    <row r="25" spans="1:5" ht="13.5" thickBot="1">
      <c r="A25" s="7"/>
      <c r="B25" s="8"/>
      <c r="C25" s="49"/>
      <c r="D25" s="8"/>
      <c r="E25" s="50"/>
    </row>
    <row r="26" spans="1:5" ht="27.75" thickBot="1" thickTop="1">
      <c r="A26" s="7"/>
      <c r="B26" s="31" t="s">
        <v>21</v>
      </c>
      <c r="C26" s="100">
        <f>(E15+E19+E24)/(C15+C19)</f>
        <v>1.6886943916349813</v>
      </c>
      <c r="D26" s="101"/>
      <c r="E26" s="9"/>
    </row>
    <row r="27" spans="1:5" ht="24" thickTop="1">
      <c r="A27" s="7"/>
      <c r="B27" s="43"/>
      <c r="C27" s="53"/>
      <c r="D27" s="53"/>
      <c r="E27" s="9"/>
    </row>
    <row r="28" spans="1:5" ht="16.5" customHeight="1">
      <c r="A28" s="7"/>
      <c r="B28" s="43"/>
      <c r="C28" s="53"/>
      <c r="D28" s="53"/>
      <c r="E28" s="9"/>
    </row>
    <row r="29" spans="1:5" ht="23.25">
      <c r="A29" s="7"/>
      <c r="B29" s="43"/>
      <c r="C29" s="53"/>
      <c r="D29" s="53"/>
      <c r="E29" s="9"/>
    </row>
    <row r="30" spans="1:5" ht="23.25">
      <c r="A30" s="7"/>
      <c r="B30" s="43"/>
      <c r="C30" s="53" t="s">
        <v>13</v>
      </c>
      <c r="D30" s="53"/>
      <c r="E30" s="9"/>
    </row>
    <row r="31" spans="1:5" ht="16.5" thickBot="1">
      <c r="A31" s="45" t="s">
        <v>41</v>
      </c>
      <c r="B31" s="8"/>
      <c r="C31" s="8"/>
      <c r="D31" s="8"/>
      <c r="E31" s="9"/>
    </row>
    <row r="32" spans="1:5" ht="12.75" customHeight="1" thickTop="1">
      <c r="A32" s="89" t="str">
        <f>Glas_Info</f>
        <v>Glazing: Insulated glass 28 mm (2x LSG 6 mm)
heat transfer coefficient UG: 1
Design of joint:
ψ = 0,051 ( = Warm Edge)</v>
      </c>
      <c r="B32" s="90"/>
      <c r="C32" s="90"/>
      <c r="D32" s="90"/>
      <c r="E32" s="91"/>
    </row>
    <row r="33" spans="1:5" ht="12.75" customHeight="1">
      <c r="A33" s="92"/>
      <c r="B33" s="93"/>
      <c r="C33" s="93"/>
      <c r="D33" s="93"/>
      <c r="E33" s="94"/>
    </row>
    <row r="34" spans="1:5" ht="12.75" customHeight="1">
      <c r="A34" s="92"/>
      <c r="B34" s="93"/>
      <c r="C34" s="93"/>
      <c r="D34" s="93"/>
      <c r="E34" s="94"/>
    </row>
    <row r="35" spans="1:5" ht="12.75" customHeight="1">
      <c r="A35" s="92"/>
      <c r="B35" s="93"/>
      <c r="C35" s="93"/>
      <c r="D35" s="93"/>
      <c r="E35" s="94"/>
    </row>
    <row r="36" spans="1:5" ht="12.75" customHeight="1">
      <c r="A36" s="92"/>
      <c r="B36" s="93"/>
      <c r="C36" s="93"/>
      <c r="D36" s="93"/>
      <c r="E36" s="94"/>
    </row>
    <row r="37" spans="1:5" ht="12.75" customHeight="1">
      <c r="A37" s="92"/>
      <c r="B37" s="93"/>
      <c r="C37" s="93"/>
      <c r="D37" s="93"/>
      <c r="E37" s="94"/>
    </row>
    <row r="38" spans="1:5" ht="12.75" customHeight="1">
      <c r="A38" s="92"/>
      <c r="B38" s="93"/>
      <c r="C38" s="93"/>
      <c r="D38" s="93"/>
      <c r="E38" s="94"/>
    </row>
    <row r="39" spans="1:5" ht="12.75" customHeight="1">
      <c r="A39" s="92"/>
      <c r="B39" s="93"/>
      <c r="C39" s="93"/>
      <c r="D39" s="93"/>
      <c r="E39" s="94"/>
    </row>
    <row r="40" spans="1:5" ht="12.75" customHeight="1">
      <c r="A40" s="92"/>
      <c r="B40" s="93"/>
      <c r="C40" s="93"/>
      <c r="D40" s="93"/>
      <c r="E40" s="94"/>
    </row>
    <row r="41" spans="1:5" ht="12.75" customHeight="1" thickBot="1">
      <c r="A41" s="95"/>
      <c r="B41" s="96"/>
      <c r="C41" s="96"/>
      <c r="D41" s="96"/>
      <c r="E41" s="97"/>
    </row>
    <row r="42" spans="1:5" ht="14.25" thickBot="1" thickTop="1">
      <c r="A42" s="78" t="s">
        <v>15</v>
      </c>
      <c r="B42" s="98" t="s">
        <v>154</v>
      </c>
      <c r="C42" s="99"/>
      <c r="D42" s="52" t="s">
        <v>16</v>
      </c>
      <c r="E42" s="83">
        <f>Rev_Datum</f>
        <v>40690</v>
      </c>
    </row>
  </sheetData>
  <sheetProtection password="C65A" sheet="1" objects="1" scenarios="1" selectLockedCells="1"/>
  <mergeCells count="7">
    <mergeCell ref="A32:E41"/>
    <mergeCell ref="B42:C42"/>
    <mergeCell ref="C26:D26"/>
    <mergeCell ref="A1:E1"/>
    <mergeCell ref="A2:E2"/>
    <mergeCell ref="A3:E3"/>
    <mergeCell ref="A4:A9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r:id="rId2"/>
  <headerFooter alignWithMargins="0">
    <oddFooter>&amp;L&amp;8UD-Tool&amp;R&amp;8gedruckt: &amp;D -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04">
    <pageSetUpPr fitToPage="1"/>
  </sheetPr>
  <dimension ref="A1:F44"/>
  <sheetViews>
    <sheetView zoomScalePageLayoutView="0" workbookViewId="0" topLeftCell="A1">
      <pane ySplit="3" topLeftCell="A21" activePane="bottomLeft" state="frozen"/>
      <selection pane="topLeft" activeCell="A1" sqref="A1"/>
      <selection pane="bottomLeft" activeCell="F1" sqref="F1"/>
    </sheetView>
  </sheetViews>
  <sheetFormatPr defaultColWidth="11.421875" defaultRowHeight="12.75"/>
  <cols>
    <col min="1" max="1" width="31.7109375" style="0" customWidth="1"/>
    <col min="2" max="5" width="11.7109375" style="0" customWidth="1"/>
  </cols>
  <sheetData>
    <row r="1" spans="1:6" ht="23.25">
      <c r="A1" s="102" t="s">
        <v>49</v>
      </c>
      <c r="B1" s="103"/>
      <c r="C1" s="103"/>
      <c r="D1" s="103"/>
      <c r="E1" s="104"/>
      <c r="F1" s="76"/>
    </row>
    <row r="2" spans="1:5" ht="15.75">
      <c r="A2" s="105" t="s">
        <v>14</v>
      </c>
      <c r="B2" s="106"/>
      <c r="C2" s="106"/>
      <c r="D2" s="106"/>
      <c r="E2" s="107"/>
    </row>
    <row r="3" spans="1:5" ht="16.5" thickBot="1">
      <c r="A3" s="108" t="s">
        <v>155</v>
      </c>
      <c r="B3" s="109"/>
      <c r="C3" s="109"/>
      <c r="D3" s="109"/>
      <c r="E3" s="110"/>
    </row>
    <row r="4" spans="1:5" ht="14.25" customHeight="1" thickBot="1">
      <c r="A4" s="111"/>
      <c r="B4" s="8"/>
      <c r="C4" s="8"/>
      <c r="D4" s="8"/>
      <c r="E4" s="9"/>
    </row>
    <row r="5" spans="1:5" ht="14.25" customHeight="1" thickBot="1" thickTop="1">
      <c r="A5" s="112"/>
      <c r="B5" s="26" t="s">
        <v>20</v>
      </c>
      <c r="C5" s="72">
        <f>B_sel/1000</f>
        <v>5.8</v>
      </c>
      <c r="D5" s="37" t="s">
        <v>12</v>
      </c>
      <c r="E5" s="73">
        <f>UG_sel</f>
        <v>1</v>
      </c>
    </row>
    <row r="6" spans="1:5" ht="14.25" customHeight="1" thickBot="1" thickTop="1">
      <c r="A6" s="112"/>
      <c r="B6" s="27" t="s">
        <v>112</v>
      </c>
      <c r="C6" s="72">
        <f>LW_sel/1000</f>
        <v>1.1</v>
      </c>
      <c r="D6" s="38" t="s">
        <v>7</v>
      </c>
      <c r="E6" s="74">
        <f>Psi_sel</f>
        <v>0.051</v>
      </c>
    </row>
    <row r="7" spans="1:5" ht="14.25" customHeight="1" thickBot="1" thickTop="1">
      <c r="A7" s="112"/>
      <c r="B7" s="28" t="s">
        <v>18</v>
      </c>
      <c r="C7" s="72">
        <f>LH_sel/1000</f>
        <v>2</v>
      </c>
      <c r="D7" s="8"/>
      <c r="E7" s="9"/>
    </row>
    <row r="8" spans="1:5" ht="14.25" customHeight="1">
      <c r="A8" s="112"/>
      <c r="B8" s="8"/>
      <c r="C8" s="8"/>
      <c r="D8" s="8"/>
      <c r="E8" s="9"/>
    </row>
    <row r="9" spans="1:5" s="35" customFormat="1" ht="14.25" customHeight="1">
      <c r="A9" s="113"/>
      <c r="B9" s="8"/>
      <c r="C9" s="8"/>
      <c r="D9" s="8"/>
      <c r="E9" s="9"/>
    </row>
    <row r="10" spans="1:5" ht="15.75">
      <c r="A10" s="5" t="s">
        <v>4</v>
      </c>
      <c r="B10" s="3" t="s">
        <v>0</v>
      </c>
      <c r="C10" s="3" t="s">
        <v>3</v>
      </c>
      <c r="D10" s="3" t="s">
        <v>2</v>
      </c>
      <c r="E10" s="11" t="s">
        <v>10</v>
      </c>
    </row>
    <row r="11" spans="1:5" ht="12.75">
      <c r="A11" s="14" t="s">
        <v>22</v>
      </c>
      <c r="B11" s="16">
        <f>(C7-0.043)*0.069</f>
        <v>0.13503300000000001</v>
      </c>
      <c r="C11" s="16">
        <f>B11*2</f>
        <v>0.27006600000000003</v>
      </c>
      <c r="D11" s="17">
        <v>3.3</v>
      </c>
      <c r="E11" s="18">
        <f aca="true" t="shared" si="0" ref="E11:E17">D11*C11</f>
        <v>0.8912178000000001</v>
      </c>
    </row>
    <row r="12" spans="1:5" ht="12.75">
      <c r="A12" s="14" t="s">
        <v>25</v>
      </c>
      <c r="B12" s="16">
        <f>(C7-0.043)*0.104</f>
        <v>0.203528</v>
      </c>
      <c r="C12" s="16">
        <f>B12</f>
        <v>0.203528</v>
      </c>
      <c r="D12" s="17">
        <v>2.9</v>
      </c>
      <c r="E12" s="18">
        <f t="shared" si="0"/>
        <v>0.5902312</v>
      </c>
    </row>
    <row r="13" spans="1:5" ht="12.75">
      <c r="A13" s="14" t="s">
        <v>26</v>
      </c>
      <c r="B13" s="16">
        <f>((C5-C6)/2-0.119)*0.066</f>
        <v>0.147246</v>
      </c>
      <c r="C13" s="16">
        <f>B13*2</f>
        <v>0.294492</v>
      </c>
      <c r="D13" s="17">
        <v>2.9</v>
      </c>
      <c r="E13" s="18">
        <f t="shared" si="0"/>
        <v>0.8540267999999999</v>
      </c>
    </row>
    <row r="14" spans="1:6" ht="12.75">
      <c r="A14" s="14" t="s">
        <v>27</v>
      </c>
      <c r="B14" s="16">
        <f>(C7-0.043)*0.05</f>
        <v>0.09785</v>
      </c>
      <c r="C14" s="16">
        <f>B14*2</f>
        <v>0.1957</v>
      </c>
      <c r="D14" s="17">
        <v>4.1</v>
      </c>
      <c r="E14" s="18">
        <f t="shared" si="0"/>
        <v>0.80237</v>
      </c>
      <c r="F14" t="s">
        <v>13</v>
      </c>
    </row>
    <row r="15" spans="1:5" ht="12.75">
      <c r="A15" s="14" t="s">
        <v>43</v>
      </c>
      <c r="B15" s="16">
        <f>((C5-C6)/2)*0.147</f>
        <v>0.3454499999999999</v>
      </c>
      <c r="C15" s="16">
        <f>B15*2</f>
        <v>0.6908999999999998</v>
      </c>
      <c r="D15" s="17">
        <v>2.7</v>
      </c>
      <c r="E15" s="18">
        <f t="shared" si="0"/>
        <v>1.8654299999999997</v>
      </c>
    </row>
    <row r="16" spans="1:5" ht="12.75">
      <c r="A16" s="14" t="s">
        <v>42</v>
      </c>
      <c r="B16" s="16">
        <f>(C6/2-0.052)*0.066</f>
        <v>0.03286800000000001</v>
      </c>
      <c r="C16" s="16">
        <f>B16*2</f>
        <v>0.06573600000000002</v>
      </c>
      <c r="D16" s="17">
        <v>2.9</v>
      </c>
      <c r="E16" s="18">
        <f t="shared" si="0"/>
        <v>0.19063440000000004</v>
      </c>
    </row>
    <row r="17" spans="1:6" ht="12.75">
      <c r="A17" s="14" t="s">
        <v>44</v>
      </c>
      <c r="B17" s="16">
        <f>C6*0.147</f>
        <v>0.1617</v>
      </c>
      <c r="C17" s="16">
        <f>B17</f>
        <v>0.1617</v>
      </c>
      <c r="D17" s="17">
        <v>5</v>
      </c>
      <c r="E17" s="18">
        <f t="shared" si="0"/>
        <v>0.8085</v>
      </c>
      <c r="F17" t="s">
        <v>13</v>
      </c>
    </row>
    <row r="18" spans="1:5" ht="12.75">
      <c r="A18" s="7"/>
      <c r="B18" s="8"/>
      <c r="C18" s="19">
        <f>SUM(C11:C17)</f>
        <v>1.8821219999999999</v>
      </c>
      <c r="D18" s="8"/>
      <c r="E18" s="20">
        <f>SUM(E11:E17)</f>
        <v>6.0024102</v>
      </c>
    </row>
    <row r="19" spans="1:5" ht="12.75">
      <c r="A19" s="7"/>
      <c r="B19" s="8"/>
      <c r="C19" s="41"/>
      <c r="D19" s="8"/>
      <c r="E19" s="46"/>
    </row>
    <row r="20" spans="1:5" ht="15.75">
      <c r="A20" s="5" t="s">
        <v>5</v>
      </c>
      <c r="B20" s="3" t="s">
        <v>0</v>
      </c>
      <c r="C20" s="42" t="s">
        <v>9</v>
      </c>
      <c r="D20" s="1" t="s">
        <v>12</v>
      </c>
      <c r="E20" s="47" t="s">
        <v>1</v>
      </c>
    </row>
    <row r="21" spans="1:5" ht="12.75">
      <c r="A21" s="14" t="s">
        <v>32</v>
      </c>
      <c r="B21" s="16">
        <f>(((C5-C6)/2-0.119)*(C7-0.109))</f>
        <v>4.218821</v>
      </c>
      <c r="C21" s="21">
        <f>B21*2</f>
        <v>8.437642</v>
      </c>
      <c r="D21" s="16">
        <f>E5</f>
        <v>1</v>
      </c>
      <c r="E21" s="22">
        <f>C21*D21</f>
        <v>8.437642</v>
      </c>
    </row>
    <row r="22" spans="1:5" ht="12.75">
      <c r="A22" s="14" t="s">
        <v>33</v>
      </c>
      <c r="B22" s="16">
        <f>((C6/2-0.052)*(C7-0.109))</f>
        <v>0.941718</v>
      </c>
      <c r="C22" s="21">
        <f>B22*2</f>
        <v>1.883436</v>
      </c>
      <c r="D22" s="16">
        <f>E5</f>
        <v>1</v>
      </c>
      <c r="E22" s="22">
        <f>C22*D22</f>
        <v>1.883436</v>
      </c>
    </row>
    <row r="23" spans="1:5" ht="12.75">
      <c r="A23" s="7"/>
      <c r="B23" s="8"/>
      <c r="C23" s="23">
        <f>SUM(C21:C22)</f>
        <v>10.321078</v>
      </c>
      <c r="D23" s="8"/>
      <c r="E23" s="20">
        <f>SUM(E21:E22)</f>
        <v>10.321078</v>
      </c>
    </row>
    <row r="24" spans="1:5" ht="12.75">
      <c r="A24" s="7"/>
      <c r="B24" s="8"/>
      <c r="C24" s="41"/>
      <c r="D24" s="8"/>
      <c r="E24" s="46"/>
    </row>
    <row r="25" spans="1:5" ht="15.75">
      <c r="A25" s="6" t="s">
        <v>34</v>
      </c>
      <c r="B25" s="4" t="s">
        <v>6</v>
      </c>
      <c r="C25" s="42" t="s">
        <v>8</v>
      </c>
      <c r="D25" s="2" t="s">
        <v>7</v>
      </c>
      <c r="E25" s="48" t="s">
        <v>11</v>
      </c>
    </row>
    <row r="26" spans="1:5" ht="12.75">
      <c r="A26" s="14" t="s">
        <v>37</v>
      </c>
      <c r="B26" s="24">
        <f>(C5-C6)/2-0.119</f>
        <v>2.231</v>
      </c>
      <c r="C26" s="16">
        <f>B26*4</f>
        <v>8.924</v>
      </c>
      <c r="D26" s="24">
        <f>E6</f>
        <v>0.051</v>
      </c>
      <c r="E26" s="22">
        <f>C26*D26</f>
        <v>0.4551239999999999</v>
      </c>
    </row>
    <row r="27" spans="1:5" ht="12.75">
      <c r="A27" s="14" t="s">
        <v>38</v>
      </c>
      <c r="B27" s="24">
        <f>C6/2-0.052</f>
        <v>0.49800000000000005</v>
      </c>
      <c r="C27" s="16">
        <f>B27*4</f>
        <v>1.9920000000000002</v>
      </c>
      <c r="D27" s="24">
        <f>E6</f>
        <v>0.051</v>
      </c>
      <c r="E27" s="22">
        <f>C27*D27</f>
        <v>0.101592</v>
      </c>
    </row>
    <row r="28" spans="1:5" ht="12.75">
      <c r="A28" s="14" t="s">
        <v>39</v>
      </c>
      <c r="B28" s="16">
        <f>C7-0.109</f>
        <v>1.891</v>
      </c>
      <c r="C28" s="16">
        <f>B28*8</f>
        <v>15.128</v>
      </c>
      <c r="D28" s="24">
        <f>E6</f>
        <v>0.051</v>
      </c>
      <c r="E28" s="22">
        <f>C28*D28</f>
        <v>0.771528</v>
      </c>
    </row>
    <row r="29" spans="1:5" ht="12.75">
      <c r="A29" s="7"/>
      <c r="B29" s="8"/>
      <c r="C29" s="19">
        <f>SUM(C26:C28)</f>
        <v>26.044</v>
      </c>
      <c r="D29" s="8"/>
      <c r="E29" s="20">
        <f>SUM(E26:E28)</f>
        <v>1.3282439999999998</v>
      </c>
    </row>
    <row r="30" spans="1:5" ht="13.5" thickBot="1">
      <c r="A30" s="7"/>
      <c r="B30" s="8"/>
      <c r="C30" s="8"/>
      <c r="D30" s="8"/>
      <c r="E30" s="9"/>
    </row>
    <row r="31" spans="1:5" ht="27.75" thickBot="1" thickTop="1">
      <c r="A31" s="7"/>
      <c r="B31" s="31" t="s">
        <v>21</v>
      </c>
      <c r="C31" s="100">
        <f>(E18+E23+E29)/(C18+C23)</f>
        <v>1.4464838894716139</v>
      </c>
      <c r="D31" s="101"/>
      <c r="E31" s="9"/>
    </row>
    <row r="32" spans="1:5" ht="24" thickTop="1">
      <c r="A32" s="7"/>
      <c r="B32" s="43"/>
      <c r="C32" s="54"/>
      <c r="D32" s="54"/>
      <c r="E32" s="9"/>
    </row>
    <row r="33" spans="1:5" ht="16.5" thickBot="1">
      <c r="A33" s="45" t="s">
        <v>40</v>
      </c>
      <c r="B33" s="8"/>
      <c r="C33" s="8"/>
      <c r="D33" s="8"/>
      <c r="E33" s="9"/>
    </row>
    <row r="34" spans="1:5" ht="12.75" customHeight="1" thickTop="1">
      <c r="A34" s="89" t="str">
        <f>Glas_Info</f>
        <v>Glazing: Insulated glass 28 mm (2x LSG 6 mm)
heat transfer coefficient UG: 1
Design of joint:
ψ = 0,051 ( = Warm Edge)</v>
      </c>
      <c r="B34" s="90"/>
      <c r="C34" s="90"/>
      <c r="D34" s="90"/>
      <c r="E34" s="91"/>
    </row>
    <row r="35" spans="1:5" ht="12.75" customHeight="1">
      <c r="A35" s="92"/>
      <c r="B35" s="93"/>
      <c r="C35" s="93"/>
      <c r="D35" s="93"/>
      <c r="E35" s="94"/>
    </row>
    <row r="36" spans="1:5" ht="12.75" customHeight="1">
      <c r="A36" s="92"/>
      <c r="B36" s="93"/>
      <c r="C36" s="93"/>
      <c r="D36" s="93"/>
      <c r="E36" s="94"/>
    </row>
    <row r="37" spans="1:5" ht="12.75" customHeight="1">
      <c r="A37" s="92"/>
      <c r="B37" s="93"/>
      <c r="C37" s="93"/>
      <c r="D37" s="93"/>
      <c r="E37" s="94"/>
    </row>
    <row r="38" spans="1:5" ht="12.75" customHeight="1">
      <c r="A38" s="92"/>
      <c r="B38" s="93"/>
      <c r="C38" s="93"/>
      <c r="D38" s="93"/>
      <c r="E38" s="94"/>
    </row>
    <row r="39" spans="1:5" ht="12.75" customHeight="1">
      <c r="A39" s="92"/>
      <c r="B39" s="93"/>
      <c r="C39" s="93"/>
      <c r="D39" s="93"/>
      <c r="E39" s="94"/>
    </row>
    <row r="40" spans="1:5" ht="12.75" customHeight="1">
      <c r="A40" s="92"/>
      <c r="B40" s="93"/>
      <c r="C40" s="93"/>
      <c r="D40" s="93"/>
      <c r="E40" s="94"/>
    </row>
    <row r="41" spans="1:5" ht="12.75" customHeight="1">
      <c r="A41" s="92"/>
      <c r="B41" s="93"/>
      <c r="C41" s="93"/>
      <c r="D41" s="93"/>
      <c r="E41" s="94"/>
    </row>
    <row r="42" spans="1:5" ht="12.75" customHeight="1">
      <c r="A42" s="92"/>
      <c r="B42" s="93"/>
      <c r="C42" s="93"/>
      <c r="D42" s="93"/>
      <c r="E42" s="94"/>
    </row>
    <row r="43" spans="1:5" ht="12.75" customHeight="1" thickBot="1">
      <c r="A43" s="95"/>
      <c r="B43" s="96"/>
      <c r="C43" s="96"/>
      <c r="D43" s="96"/>
      <c r="E43" s="97"/>
    </row>
    <row r="44" spans="1:5" ht="14.25" thickBot="1" thickTop="1">
      <c r="A44" s="78" t="s">
        <v>15</v>
      </c>
      <c r="B44" s="98" t="s">
        <v>154</v>
      </c>
      <c r="C44" s="99"/>
      <c r="D44" s="52" t="s">
        <v>16</v>
      </c>
      <c r="E44" s="83">
        <f>Rev_Datum</f>
        <v>40690</v>
      </c>
    </row>
  </sheetData>
  <sheetProtection password="C65A" sheet="1" objects="1" scenarios="1" selectLockedCells="1"/>
  <mergeCells count="7">
    <mergeCell ref="B44:C44"/>
    <mergeCell ref="C31:D31"/>
    <mergeCell ref="A34:E43"/>
    <mergeCell ref="A1:E1"/>
    <mergeCell ref="A2:E2"/>
    <mergeCell ref="A3:E3"/>
    <mergeCell ref="A4:A9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r:id="rId2"/>
  <headerFooter alignWithMargins="0">
    <oddFooter>&amp;L&amp;8UD-Tool&amp;R&amp;8gedruckt: &amp;D - &amp;T</oddFooter>
  </headerFooter>
  <ignoredErrors>
    <ignoredError sqref="C12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05">
    <pageSetUpPr fitToPage="1"/>
  </sheetPr>
  <dimension ref="A1:M4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" sqref="F1"/>
    </sheetView>
  </sheetViews>
  <sheetFormatPr defaultColWidth="11.421875" defaultRowHeight="12.75"/>
  <cols>
    <col min="1" max="1" width="31.7109375" style="0" customWidth="1"/>
    <col min="2" max="5" width="11.7109375" style="0" customWidth="1"/>
  </cols>
  <sheetData>
    <row r="1" spans="1:13" ht="23.25">
      <c r="A1" s="102" t="s">
        <v>49</v>
      </c>
      <c r="B1" s="103"/>
      <c r="C1" s="103"/>
      <c r="D1" s="103"/>
      <c r="E1" s="104"/>
      <c r="F1" s="76"/>
      <c r="M1" s="35"/>
    </row>
    <row r="2" spans="1:5" ht="15.75">
      <c r="A2" s="105" t="s">
        <v>14</v>
      </c>
      <c r="B2" s="106"/>
      <c r="C2" s="106"/>
      <c r="D2" s="106"/>
      <c r="E2" s="107"/>
    </row>
    <row r="3" spans="1:5" ht="16.5" thickBot="1">
      <c r="A3" s="108" t="s">
        <v>156</v>
      </c>
      <c r="B3" s="109"/>
      <c r="C3" s="109"/>
      <c r="D3" s="109"/>
      <c r="E3" s="110"/>
    </row>
    <row r="4" spans="1:5" ht="14.25" customHeight="1" thickBot="1">
      <c r="A4" s="111"/>
      <c r="B4" s="8"/>
      <c r="C4" s="8"/>
      <c r="D4" s="8"/>
      <c r="E4" s="9"/>
    </row>
    <row r="5" spans="1:5" ht="14.25" customHeight="1" thickBot="1" thickTop="1">
      <c r="A5" s="112"/>
      <c r="B5" s="26" t="s">
        <v>20</v>
      </c>
      <c r="C5" s="72">
        <f>B_sel/1000</f>
        <v>5.8</v>
      </c>
      <c r="D5" s="37" t="s">
        <v>12</v>
      </c>
      <c r="E5" s="73">
        <f>UG_sel</f>
        <v>1</v>
      </c>
    </row>
    <row r="6" spans="1:5" ht="14.25" customHeight="1" thickBot="1" thickTop="1">
      <c r="A6" s="112"/>
      <c r="B6" s="27" t="s">
        <v>112</v>
      </c>
      <c r="C6" s="72">
        <f>LW_sel/1000</f>
        <v>1.1</v>
      </c>
      <c r="D6" s="38" t="s">
        <v>7</v>
      </c>
      <c r="E6" s="74">
        <f>Psi_sel</f>
        <v>0.051</v>
      </c>
    </row>
    <row r="7" spans="1:5" ht="14.25" customHeight="1" thickBot="1" thickTop="1">
      <c r="A7" s="112"/>
      <c r="B7" s="28" t="s">
        <v>18</v>
      </c>
      <c r="C7" s="72">
        <f>LH_sel/1000</f>
        <v>2</v>
      </c>
      <c r="D7" s="8"/>
      <c r="E7" s="9"/>
    </row>
    <row r="8" spans="1:5" ht="14.25" customHeight="1">
      <c r="A8" s="112"/>
      <c r="B8" s="8"/>
      <c r="C8" s="8"/>
      <c r="D8" s="8"/>
      <c r="E8" s="9"/>
    </row>
    <row r="9" spans="1:5" ht="14.25" customHeight="1">
      <c r="A9" s="113"/>
      <c r="B9" s="8"/>
      <c r="C9" s="8"/>
      <c r="D9" s="8"/>
      <c r="E9" s="9"/>
    </row>
    <row r="10" spans="1:5" ht="15.75">
      <c r="A10" s="5" t="s">
        <v>4</v>
      </c>
      <c r="B10" s="3" t="s">
        <v>0</v>
      </c>
      <c r="C10" s="3" t="s">
        <v>3</v>
      </c>
      <c r="D10" s="3" t="s">
        <v>2</v>
      </c>
      <c r="E10" s="11" t="s">
        <v>10</v>
      </c>
    </row>
    <row r="11" spans="1:5" ht="12.75">
      <c r="A11" s="14" t="s">
        <v>22</v>
      </c>
      <c r="B11" s="16">
        <f>(C7-0.043)*0.069</f>
        <v>0.13503300000000001</v>
      </c>
      <c r="C11" s="16">
        <f>B11*2</f>
        <v>0.27006600000000003</v>
      </c>
      <c r="D11" s="17">
        <v>3.3</v>
      </c>
      <c r="E11" s="18">
        <f aca="true" t="shared" si="0" ref="E11:E17">D11*C11</f>
        <v>0.8912178000000001</v>
      </c>
    </row>
    <row r="12" spans="1:5" ht="12.75">
      <c r="A12" s="14" t="s">
        <v>25</v>
      </c>
      <c r="B12" s="16">
        <f>(C7-0.043)*0.104</f>
        <v>0.203528</v>
      </c>
      <c r="C12" s="16">
        <f>B12</f>
        <v>0.203528</v>
      </c>
      <c r="D12" s="17">
        <v>2.9</v>
      </c>
      <c r="E12" s="18">
        <f t="shared" si="0"/>
        <v>0.5902312</v>
      </c>
    </row>
    <row r="13" spans="1:5" ht="12.75">
      <c r="A13" s="14" t="s">
        <v>26</v>
      </c>
      <c r="B13" s="16">
        <f>((C5-C6)/2-0.119)*0.066</f>
        <v>0.147246</v>
      </c>
      <c r="C13" s="16">
        <f>B13*2</f>
        <v>0.294492</v>
      </c>
      <c r="D13" s="17">
        <v>2.9</v>
      </c>
      <c r="E13" s="18">
        <f t="shared" si="0"/>
        <v>0.8540267999999999</v>
      </c>
    </row>
    <row r="14" spans="1:6" ht="12.75">
      <c r="A14" s="14" t="s">
        <v>27</v>
      </c>
      <c r="B14" s="16">
        <f>(C7-0.043)*0.05</f>
        <v>0.09785</v>
      </c>
      <c r="C14" s="16">
        <f>B14*2</f>
        <v>0.1957</v>
      </c>
      <c r="D14" s="17">
        <v>4.1</v>
      </c>
      <c r="E14" s="18">
        <f t="shared" si="0"/>
        <v>0.80237</v>
      </c>
      <c r="F14" t="s">
        <v>13</v>
      </c>
    </row>
    <row r="15" spans="1:5" ht="12.75">
      <c r="A15" s="14" t="s">
        <v>50</v>
      </c>
      <c r="B15" s="16">
        <f>((C5-C6)/2)*0.147</f>
        <v>0.3454499999999999</v>
      </c>
      <c r="C15" s="16">
        <f>B15*2</f>
        <v>0.6908999999999998</v>
      </c>
      <c r="D15" s="17">
        <v>2.7</v>
      </c>
      <c r="E15" s="18">
        <f t="shared" si="0"/>
        <v>1.8654299999999997</v>
      </c>
    </row>
    <row r="16" spans="1:5" ht="12.75">
      <c r="A16" s="14" t="s">
        <v>29</v>
      </c>
      <c r="B16" s="16">
        <f>(C6/2-0.052)*0.066</f>
        <v>0.03286800000000001</v>
      </c>
      <c r="C16" s="16">
        <f>B16*2</f>
        <v>0.06573600000000002</v>
      </c>
      <c r="D16" s="17">
        <v>3.4</v>
      </c>
      <c r="E16" s="18">
        <f t="shared" si="0"/>
        <v>0.22350240000000005</v>
      </c>
    </row>
    <row r="17" spans="1:6" ht="12.75">
      <c r="A17" s="14" t="s">
        <v>44</v>
      </c>
      <c r="B17" s="16">
        <f>C6*0.147</f>
        <v>0.1617</v>
      </c>
      <c r="C17" s="16">
        <f>B17</f>
        <v>0.1617</v>
      </c>
      <c r="D17" s="17">
        <v>5</v>
      </c>
      <c r="E17" s="18">
        <f t="shared" si="0"/>
        <v>0.8085</v>
      </c>
      <c r="F17" t="s">
        <v>13</v>
      </c>
    </row>
    <row r="18" spans="1:5" ht="12.75">
      <c r="A18" s="7"/>
      <c r="B18" s="8"/>
      <c r="C18" s="19">
        <f>SUM(C11:C17)</f>
        <v>1.8821219999999999</v>
      </c>
      <c r="D18" s="8"/>
      <c r="E18" s="20">
        <f>SUM(E11:E17)</f>
        <v>6.0352782000000005</v>
      </c>
    </row>
    <row r="19" spans="1:5" ht="12.75">
      <c r="A19" s="7"/>
      <c r="B19" s="8"/>
      <c r="C19" s="41"/>
      <c r="D19" s="8"/>
      <c r="E19" s="46"/>
    </row>
    <row r="20" spans="1:5" ht="15.75">
      <c r="A20" s="5" t="s">
        <v>5</v>
      </c>
      <c r="B20" s="3" t="s">
        <v>0</v>
      </c>
      <c r="C20" s="42" t="s">
        <v>9</v>
      </c>
      <c r="D20" s="1" t="s">
        <v>12</v>
      </c>
      <c r="E20" s="47" t="s">
        <v>1</v>
      </c>
    </row>
    <row r="21" spans="1:5" ht="12.75">
      <c r="A21" s="14" t="s">
        <v>32</v>
      </c>
      <c r="B21" s="16">
        <f>(((C5-C6)/2-0.119)*(C7-0.109))</f>
        <v>4.218821</v>
      </c>
      <c r="C21" s="21">
        <f>B21*2</f>
        <v>8.437642</v>
      </c>
      <c r="D21" s="16">
        <f>E5</f>
        <v>1</v>
      </c>
      <c r="E21" s="22">
        <f>C21*D21</f>
        <v>8.437642</v>
      </c>
    </row>
    <row r="22" spans="1:5" ht="12.75">
      <c r="A22" s="14" t="s">
        <v>33</v>
      </c>
      <c r="B22" s="16">
        <f>((C6/2-0.052)*(C7-0.109))</f>
        <v>0.941718</v>
      </c>
      <c r="C22" s="21">
        <f>B22*2</f>
        <v>1.883436</v>
      </c>
      <c r="D22" s="16">
        <f>E5</f>
        <v>1</v>
      </c>
      <c r="E22" s="22">
        <f>C22*D22</f>
        <v>1.883436</v>
      </c>
    </row>
    <row r="23" spans="1:5" ht="12.75">
      <c r="A23" s="7"/>
      <c r="B23" s="8"/>
      <c r="C23" s="23">
        <f>SUM(C21:C22)</f>
        <v>10.321078</v>
      </c>
      <c r="D23" s="8"/>
      <c r="E23" s="20">
        <f>SUM(E21:E22)</f>
        <v>10.321078</v>
      </c>
    </row>
    <row r="24" spans="1:5" ht="12.75">
      <c r="A24" s="7"/>
      <c r="B24" s="8"/>
      <c r="C24" s="41"/>
      <c r="D24" s="8"/>
      <c r="E24" s="46"/>
    </row>
    <row r="25" spans="1:5" ht="15.75">
      <c r="A25" s="6" t="s">
        <v>34</v>
      </c>
      <c r="B25" s="4" t="s">
        <v>6</v>
      </c>
      <c r="C25" s="42" t="s">
        <v>8</v>
      </c>
      <c r="D25" s="2" t="s">
        <v>7</v>
      </c>
      <c r="E25" s="48" t="s">
        <v>11</v>
      </c>
    </row>
    <row r="26" spans="1:5" ht="12.75">
      <c r="A26" s="14" t="s">
        <v>37</v>
      </c>
      <c r="B26" s="24">
        <f>(C5-C6)/2-0.119</f>
        <v>2.231</v>
      </c>
      <c r="C26" s="16">
        <f>B26*4</f>
        <v>8.924</v>
      </c>
      <c r="D26" s="24">
        <f>E6</f>
        <v>0.051</v>
      </c>
      <c r="E26" s="22">
        <f>C26*D26</f>
        <v>0.4551239999999999</v>
      </c>
    </row>
    <row r="27" spans="1:5" ht="12.75">
      <c r="A27" s="14" t="s">
        <v>38</v>
      </c>
      <c r="B27" s="24">
        <f>C6/2-0.052</f>
        <v>0.49800000000000005</v>
      </c>
      <c r="C27" s="16">
        <f>B27*4</f>
        <v>1.9920000000000002</v>
      </c>
      <c r="D27" s="24">
        <f>E6</f>
        <v>0.051</v>
      </c>
      <c r="E27" s="22">
        <f>C27*D27</f>
        <v>0.101592</v>
      </c>
    </row>
    <row r="28" spans="1:5" ht="12.75">
      <c r="A28" s="14" t="s">
        <v>39</v>
      </c>
      <c r="B28" s="16">
        <f>C7-0.109</f>
        <v>1.891</v>
      </c>
      <c r="C28" s="16">
        <f>B28*8</f>
        <v>15.128</v>
      </c>
      <c r="D28" s="24">
        <f>E6</f>
        <v>0.051</v>
      </c>
      <c r="E28" s="22">
        <f>C28*D28</f>
        <v>0.771528</v>
      </c>
    </row>
    <row r="29" spans="1:5" ht="12.75">
      <c r="A29" s="7"/>
      <c r="B29" s="8"/>
      <c r="C29" s="19">
        <f>SUM(C26:C28)</f>
        <v>26.044</v>
      </c>
      <c r="D29" s="8"/>
      <c r="E29" s="20">
        <f>SUM(E26:E28)</f>
        <v>1.3282439999999998</v>
      </c>
    </row>
    <row r="30" spans="1:5" ht="13.5" thickBot="1">
      <c r="A30" s="7"/>
      <c r="B30" s="8"/>
      <c r="C30" s="49"/>
      <c r="D30" s="8"/>
      <c r="E30" s="50"/>
    </row>
    <row r="31" spans="1:5" ht="27.75" thickBot="1" thickTop="1">
      <c r="A31" s="7"/>
      <c r="B31" s="31" t="s">
        <v>21</v>
      </c>
      <c r="C31" s="100">
        <f>(E18+E23+E29)/(C18+C23)</f>
        <v>1.4491772813688213</v>
      </c>
      <c r="D31" s="101"/>
      <c r="E31" s="9"/>
    </row>
    <row r="32" spans="1:5" ht="24" thickTop="1">
      <c r="A32" s="7"/>
      <c r="B32" s="55"/>
      <c r="C32" s="53"/>
      <c r="D32" s="53"/>
      <c r="E32" s="9"/>
    </row>
    <row r="33" spans="1:5" ht="16.5" thickBot="1">
      <c r="A33" s="45" t="s">
        <v>41</v>
      </c>
      <c r="B33" s="8"/>
      <c r="C33" s="8"/>
      <c r="D33" s="8"/>
      <c r="E33" s="9"/>
    </row>
    <row r="34" spans="1:5" ht="12.75" customHeight="1" thickTop="1">
      <c r="A34" s="89" t="str">
        <f>Glas_Info</f>
        <v>Glazing: Insulated glass 28 mm (2x LSG 6 mm)
heat transfer coefficient UG: 1
Design of joint:
ψ = 0,051 ( = Warm Edge)</v>
      </c>
      <c r="B34" s="90"/>
      <c r="C34" s="90"/>
      <c r="D34" s="90"/>
      <c r="E34" s="91"/>
    </row>
    <row r="35" spans="1:5" ht="12.75" customHeight="1">
      <c r="A35" s="92"/>
      <c r="B35" s="93"/>
      <c r="C35" s="93"/>
      <c r="D35" s="93"/>
      <c r="E35" s="94"/>
    </row>
    <row r="36" spans="1:5" ht="12.75" customHeight="1">
      <c r="A36" s="92"/>
      <c r="B36" s="93"/>
      <c r="C36" s="93"/>
      <c r="D36" s="93"/>
      <c r="E36" s="94"/>
    </row>
    <row r="37" spans="1:5" ht="12.75" customHeight="1">
      <c r="A37" s="92"/>
      <c r="B37" s="93"/>
      <c r="C37" s="93"/>
      <c r="D37" s="93"/>
      <c r="E37" s="94"/>
    </row>
    <row r="38" spans="1:5" ht="12.75" customHeight="1">
      <c r="A38" s="92"/>
      <c r="B38" s="93"/>
      <c r="C38" s="93"/>
      <c r="D38" s="93"/>
      <c r="E38" s="94"/>
    </row>
    <row r="39" spans="1:5" ht="12.75" customHeight="1">
      <c r="A39" s="92"/>
      <c r="B39" s="93"/>
      <c r="C39" s="93"/>
      <c r="D39" s="93"/>
      <c r="E39" s="94"/>
    </row>
    <row r="40" spans="1:5" ht="12.75" customHeight="1">
      <c r="A40" s="92"/>
      <c r="B40" s="93"/>
      <c r="C40" s="93"/>
      <c r="D40" s="93"/>
      <c r="E40" s="94"/>
    </row>
    <row r="41" spans="1:5" ht="12.75" customHeight="1">
      <c r="A41" s="92"/>
      <c r="B41" s="93"/>
      <c r="C41" s="93"/>
      <c r="D41" s="93"/>
      <c r="E41" s="94"/>
    </row>
    <row r="42" spans="1:5" ht="12.75" customHeight="1">
      <c r="A42" s="92"/>
      <c r="B42" s="93"/>
      <c r="C42" s="93"/>
      <c r="D42" s="93"/>
      <c r="E42" s="94"/>
    </row>
    <row r="43" spans="1:5" ht="12.75" customHeight="1" thickBot="1">
      <c r="A43" s="95"/>
      <c r="B43" s="96"/>
      <c r="C43" s="96"/>
      <c r="D43" s="96"/>
      <c r="E43" s="97"/>
    </row>
    <row r="44" spans="1:5" ht="14.25" thickBot="1" thickTop="1">
      <c r="A44" s="78" t="s">
        <v>15</v>
      </c>
      <c r="B44" s="98" t="s">
        <v>154</v>
      </c>
      <c r="C44" s="99"/>
      <c r="D44" s="52" t="s">
        <v>16</v>
      </c>
      <c r="E44" s="83">
        <f>Rev_Datum</f>
        <v>40690</v>
      </c>
    </row>
  </sheetData>
  <sheetProtection password="C65A" sheet="1" objects="1" scenarios="1" selectLockedCells="1"/>
  <mergeCells count="7">
    <mergeCell ref="A34:E43"/>
    <mergeCell ref="B44:C44"/>
    <mergeCell ref="C31:D31"/>
    <mergeCell ref="A1:E1"/>
    <mergeCell ref="A2:E2"/>
    <mergeCell ref="A3:E3"/>
    <mergeCell ref="A4:A9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r:id="rId2"/>
  <headerFooter alignWithMargins="0">
    <oddFooter>&amp;L&amp;8UD-Tool&amp;R&amp;8gedruckt: &amp;D - 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06">
    <pageSetUpPr fitToPage="1"/>
  </sheetPr>
  <dimension ref="A1:H4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A9"/>
    </sheetView>
  </sheetViews>
  <sheetFormatPr defaultColWidth="11.421875" defaultRowHeight="12.75"/>
  <cols>
    <col min="1" max="1" width="31.7109375" style="0" customWidth="1"/>
    <col min="2" max="5" width="11.7109375" style="0" customWidth="1"/>
  </cols>
  <sheetData>
    <row r="1" spans="1:6" ht="23.25">
      <c r="A1" s="102" t="s">
        <v>49</v>
      </c>
      <c r="B1" s="103"/>
      <c r="C1" s="103"/>
      <c r="D1" s="103"/>
      <c r="E1" s="104"/>
      <c r="F1" s="76"/>
    </row>
    <row r="2" spans="1:5" ht="15.75">
      <c r="A2" s="105" t="s">
        <v>17</v>
      </c>
      <c r="B2" s="106"/>
      <c r="C2" s="106"/>
      <c r="D2" s="106"/>
      <c r="E2" s="107"/>
    </row>
    <row r="3" spans="1:5" ht="16.5" thickBot="1">
      <c r="A3" s="108" t="s">
        <v>155</v>
      </c>
      <c r="B3" s="109"/>
      <c r="C3" s="109"/>
      <c r="D3" s="109"/>
      <c r="E3" s="110"/>
    </row>
    <row r="4" spans="1:5" ht="13.5" thickBot="1">
      <c r="A4" s="111"/>
      <c r="B4" s="8"/>
      <c r="C4" s="8"/>
      <c r="D4" s="8"/>
      <c r="E4" s="9"/>
    </row>
    <row r="5" spans="1:5" ht="14.25" thickBot="1" thickTop="1">
      <c r="A5" s="112"/>
      <c r="B5" s="26" t="s">
        <v>20</v>
      </c>
      <c r="C5" s="75">
        <f>B_sel/1000</f>
        <v>5.8</v>
      </c>
      <c r="D5" s="37" t="s">
        <v>12</v>
      </c>
      <c r="E5" s="73">
        <f>UG_sel</f>
        <v>1</v>
      </c>
    </row>
    <row r="6" spans="1:5" ht="17.25" thickBot="1" thickTop="1">
      <c r="A6" s="112"/>
      <c r="B6" s="27" t="s">
        <v>19</v>
      </c>
      <c r="C6" s="75">
        <f>H_sel/1000</f>
        <v>3</v>
      </c>
      <c r="D6" s="38" t="s">
        <v>7</v>
      </c>
      <c r="E6" s="74">
        <f>Psi_sel</f>
        <v>0.051</v>
      </c>
    </row>
    <row r="7" spans="1:5" ht="14.25" thickBot="1" thickTop="1">
      <c r="A7" s="112"/>
      <c r="B7" s="27" t="s">
        <v>112</v>
      </c>
      <c r="C7" s="75">
        <f>LW_sel/1000</f>
        <v>1.1</v>
      </c>
      <c r="D7" s="8"/>
      <c r="E7" s="10"/>
    </row>
    <row r="8" spans="1:5" ht="14.25" thickBot="1" thickTop="1">
      <c r="A8" s="112"/>
      <c r="B8" s="28" t="s">
        <v>18</v>
      </c>
      <c r="C8" s="75">
        <f>LH_sel/1000</f>
        <v>2</v>
      </c>
      <c r="D8" s="8"/>
      <c r="E8" s="9"/>
    </row>
    <row r="9" spans="1:5" ht="12.75">
      <c r="A9" s="113"/>
      <c r="B9" s="8"/>
      <c r="C9" s="8"/>
      <c r="D9" s="8"/>
      <c r="E9" s="9"/>
    </row>
    <row r="10" spans="1:5" ht="15.75">
      <c r="A10" s="5" t="s">
        <v>4</v>
      </c>
      <c r="B10" s="3" t="s">
        <v>0</v>
      </c>
      <c r="C10" s="3" t="s">
        <v>3</v>
      </c>
      <c r="D10" s="3" t="s">
        <v>2</v>
      </c>
      <c r="E10" s="11" t="s">
        <v>10</v>
      </c>
    </row>
    <row r="11" spans="1:5" ht="12.75">
      <c r="A11" s="14" t="s">
        <v>22</v>
      </c>
      <c r="B11" s="15">
        <f>(C8-0.043)*0.069</f>
        <v>0.13503300000000001</v>
      </c>
      <c r="C11" s="16">
        <f>B11*2</f>
        <v>0.27006600000000003</v>
      </c>
      <c r="D11" s="17">
        <v>3.3</v>
      </c>
      <c r="E11" s="18">
        <f aca="true" t="shared" si="0" ref="E11:E19">D11*C11</f>
        <v>0.8912178000000001</v>
      </c>
    </row>
    <row r="12" spans="1:5" ht="12.75">
      <c r="A12" s="14" t="s">
        <v>23</v>
      </c>
      <c r="B12" s="15">
        <f>C5*0.069</f>
        <v>0.4002</v>
      </c>
      <c r="C12" s="16">
        <f>B12</f>
        <v>0.4002</v>
      </c>
      <c r="D12" s="17">
        <v>3.3</v>
      </c>
      <c r="E12" s="18">
        <f t="shared" si="0"/>
        <v>1.32066</v>
      </c>
    </row>
    <row r="13" spans="1:5" ht="12.75">
      <c r="A13" s="14" t="s">
        <v>24</v>
      </c>
      <c r="B13" s="15">
        <f>(C6-C8-0.216)*0.069</f>
        <v>0.054096000000000005</v>
      </c>
      <c r="C13" s="16">
        <f>B13*2</f>
        <v>0.10819200000000001</v>
      </c>
      <c r="D13" s="17">
        <v>3.3</v>
      </c>
      <c r="E13" s="18">
        <f t="shared" si="0"/>
        <v>0.3570336</v>
      </c>
    </row>
    <row r="14" spans="1:5" ht="12.75">
      <c r="A14" s="14" t="s">
        <v>25</v>
      </c>
      <c r="B14" s="15">
        <f>(C8-0.043)*0.104</f>
        <v>0.203528</v>
      </c>
      <c r="C14" s="16">
        <f>B14</f>
        <v>0.203528</v>
      </c>
      <c r="D14" s="17">
        <v>2.9</v>
      </c>
      <c r="E14" s="18">
        <f t="shared" si="0"/>
        <v>0.5902312</v>
      </c>
    </row>
    <row r="15" spans="1:5" ht="12.75">
      <c r="A15" s="14" t="s">
        <v>26</v>
      </c>
      <c r="B15" s="15">
        <f>((C5-C7)/2-0.119)*0.066</f>
        <v>0.147246</v>
      </c>
      <c r="C15" s="16">
        <f>B15*2</f>
        <v>0.294492</v>
      </c>
      <c r="D15" s="17">
        <v>2.9</v>
      </c>
      <c r="E15" s="18">
        <f t="shared" si="0"/>
        <v>0.8540267999999999</v>
      </c>
    </row>
    <row r="16" spans="1:6" ht="12.75">
      <c r="A16" s="14" t="s">
        <v>27</v>
      </c>
      <c r="B16" s="15">
        <f>(C8-0.043)*0.05</f>
        <v>0.09785</v>
      </c>
      <c r="C16" s="16">
        <f>B16*2</f>
        <v>0.1957</v>
      </c>
      <c r="D16" s="17">
        <v>4.1</v>
      </c>
      <c r="E16" s="18">
        <f t="shared" si="0"/>
        <v>0.80237</v>
      </c>
      <c r="F16" t="s">
        <v>13</v>
      </c>
    </row>
    <row r="17" spans="1:5" ht="12.75">
      <c r="A17" s="14" t="s">
        <v>30</v>
      </c>
      <c r="B17" s="15">
        <f>((C5-C7)/2)*0.19</f>
        <v>0.44649999999999995</v>
      </c>
      <c r="C17" s="16">
        <f>B17*2</f>
        <v>0.8929999999999999</v>
      </c>
      <c r="D17" s="17">
        <v>3.1</v>
      </c>
      <c r="E17" s="18">
        <f t="shared" si="0"/>
        <v>2.7683</v>
      </c>
    </row>
    <row r="18" spans="1:5" ht="12.75">
      <c r="A18" s="14" t="s">
        <v>42</v>
      </c>
      <c r="B18" s="15">
        <f>(C7/2-0.052)*0.066</f>
        <v>0.03286800000000001</v>
      </c>
      <c r="C18" s="16">
        <f>B18*2</f>
        <v>0.06573600000000002</v>
      </c>
      <c r="D18" s="17">
        <v>2.9</v>
      </c>
      <c r="E18" s="18">
        <f t="shared" si="0"/>
        <v>0.19063440000000004</v>
      </c>
    </row>
    <row r="19" spans="1:6" ht="12.75">
      <c r="A19" s="14" t="s">
        <v>28</v>
      </c>
      <c r="B19" s="15">
        <f>C7*0.19</f>
        <v>0.20900000000000002</v>
      </c>
      <c r="C19" s="16">
        <f>B19</f>
        <v>0.20900000000000002</v>
      </c>
      <c r="D19" s="17">
        <v>4.8</v>
      </c>
      <c r="E19" s="18">
        <f t="shared" si="0"/>
        <v>1.0032</v>
      </c>
      <c r="F19" t="s">
        <v>13</v>
      </c>
    </row>
    <row r="20" spans="1:5" ht="12.75">
      <c r="A20" s="7"/>
      <c r="B20" s="8"/>
      <c r="C20" s="19">
        <f>SUM(C11:C19)</f>
        <v>2.6399139999999996</v>
      </c>
      <c r="D20" s="8"/>
      <c r="E20" s="20">
        <f>SUM(E11:E19)</f>
        <v>8.7776738</v>
      </c>
    </row>
    <row r="21" spans="1:5" ht="12.75">
      <c r="A21" s="7"/>
      <c r="B21" s="8"/>
      <c r="C21" s="8"/>
      <c r="D21" s="8"/>
      <c r="E21" s="9"/>
    </row>
    <row r="22" spans="1:5" ht="15.75">
      <c r="A22" s="5" t="s">
        <v>5</v>
      </c>
      <c r="B22" s="3" t="s">
        <v>0</v>
      </c>
      <c r="C22" s="3" t="s">
        <v>9</v>
      </c>
      <c r="D22" s="1" t="s">
        <v>12</v>
      </c>
      <c r="E22" s="12" t="s">
        <v>1</v>
      </c>
    </row>
    <row r="23" spans="1:5" ht="12.75">
      <c r="A23" s="14" t="s">
        <v>31</v>
      </c>
      <c r="B23" s="16">
        <f>((C5-0.138)*(C6-C8-0.216))</f>
        <v>4.439008</v>
      </c>
      <c r="C23" s="21">
        <f>B23</f>
        <v>4.439008</v>
      </c>
      <c r="D23" s="16">
        <f>E5</f>
        <v>1</v>
      </c>
      <c r="E23" s="22">
        <f>C23*D23</f>
        <v>4.439008</v>
      </c>
    </row>
    <row r="24" spans="1:5" ht="12.75">
      <c r="A24" s="14" t="s">
        <v>32</v>
      </c>
      <c r="B24" s="16">
        <f>(((C5-C7)/2-0.119)*(C8-0.109))</f>
        <v>4.218821</v>
      </c>
      <c r="C24" s="21">
        <f>B24*2</f>
        <v>8.437642</v>
      </c>
      <c r="D24" s="16">
        <f>E5</f>
        <v>1</v>
      </c>
      <c r="E24" s="22">
        <f>C24*D24</f>
        <v>8.437642</v>
      </c>
    </row>
    <row r="25" spans="1:5" ht="12.75">
      <c r="A25" s="14" t="s">
        <v>33</v>
      </c>
      <c r="B25" s="16">
        <f>((C7/2-0.052)*(C8-0.109))</f>
        <v>0.941718</v>
      </c>
      <c r="C25" s="21">
        <f>B25*2</f>
        <v>1.883436</v>
      </c>
      <c r="D25" s="16">
        <f>E5</f>
        <v>1</v>
      </c>
      <c r="E25" s="22">
        <f>C25*D25</f>
        <v>1.883436</v>
      </c>
    </row>
    <row r="26" spans="1:5" ht="12.75">
      <c r="A26" s="7"/>
      <c r="B26" s="8"/>
      <c r="C26" s="23">
        <f>SUM(C23:C25)</f>
        <v>14.760086000000001</v>
      </c>
      <c r="D26" s="8"/>
      <c r="E26" s="20">
        <f>SUM(E23:E25)</f>
        <v>14.760086000000001</v>
      </c>
    </row>
    <row r="27" spans="1:5" ht="12.75">
      <c r="A27" s="7"/>
      <c r="B27" s="8"/>
      <c r="C27" s="8"/>
      <c r="D27" s="8"/>
      <c r="E27" s="9"/>
    </row>
    <row r="28" spans="1:5" ht="15.75">
      <c r="A28" s="6" t="s">
        <v>34</v>
      </c>
      <c r="B28" s="4" t="s">
        <v>6</v>
      </c>
      <c r="C28" s="3" t="s">
        <v>8</v>
      </c>
      <c r="D28" s="2" t="s">
        <v>7</v>
      </c>
      <c r="E28" s="13" t="s">
        <v>11</v>
      </c>
    </row>
    <row r="29" spans="1:5" ht="12.75">
      <c r="A29" s="14" t="s">
        <v>35</v>
      </c>
      <c r="B29" s="24">
        <f>C5-0.138</f>
        <v>5.662</v>
      </c>
      <c r="C29" s="24">
        <f>B29*2</f>
        <v>11.324</v>
      </c>
      <c r="D29" s="24">
        <f>E6</f>
        <v>0.051</v>
      </c>
      <c r="E29" s="22">
        <f>C29*D29</f>
        <v>0.5775239999999999</v>
      </c>
    </row>
    <row r="30" spans="1:5" ht="12.75">
      <c r="A30" s="14" t="s">
        <v>36</v>
      </c>
      <c r="B30" s="16">
        <f>C6-C8-0.216</f>
        <v>0.784</v>
      </c>
      <c r="C30" s="24">
        <f>B30*2</f>
        <v>1.568</v>
      </c>
      <c r="D30" s="24">
        <f>E6</f>
        <v>0.051</v>
      </c>
      <c r="E30" s="22">
        <f>C30*D30</f>
        <v>0.079968</v>
      </c>
    </row>
    <row r="31" spans="1:5" ht="12.75">
      <c r="A31" s="14" t="s">
        <v>37</v>
      </c>
      <c r="B31" s="24">
        <f>(C5-C7)/2-0.119</f>
        <v>2.231</v>
      </c>
      <c r="C31" s="24">
        <f>B31*4</f>
        <v>8.924</v>
      </c>
      <c r="D31" s="24">
        <f>E6</f>
        <v>0.051</v>
      </c>
      <c r="E31" s="22">
        <f>C31*D31</f>
        <v>0.4551239999999999</v>
      </c>
    </row>
    <row r="32" spans="1:5" ht="12.75">
      <c r="A32" s="14" t="s">
        <v>38</v>
      </c>
      <c r="B32" s="24">
        <f>C7/2-0.052</f>
        <v>0.49800000000000005</v>
      </c>
      <c r="C32" s="24">
        <f>B32*4</f>
        <v>1.9920000000000002</v>
      </c>
      <c r="D32" s="24">
        <f>E6</f>
        <v>0.051</v>
      </c>
      <c r="E32" s="22">
        <f>C32*D32</f>
        <v>0.101592</v>
      </c>
    </row>
    <row r="33" spans="1:5" ht="12.75">
      <c r="A33" s="14" t="s">
        <v>39</v>
      </c>
      <c r="B33" s="16">
        <f>C8-0.109</f>
        <v>1.891</v>
      </c>
      <c r="C33" s="24">
        <f>B33*8</f>
        <v>15.128</v>
      </c>
      <c r="D33" s="24">
        <f>E6</f>
        <v>0.051</v>
      </c>
      <c r="E33" s="22">
        <f>C33*D33</f>
        <v>0.771528</v>
      </c>
    </row>
    <row r="34" spans="1:5" ht="12.75">
      <c r="A34" s="7"/>
      <c r="B34" s="8"/>
      <c r="C34" s="25">
        <f>SUM(C29:C33)</f>
        <v>38.936</v>
      </c>
      <c r="D34" s="8"/>
      <c r="E34" s="20">
        <f>SUM(E29:E33)</f>
        <v>1.9857359999999997</v>
      </c>
    </row>
    <row r="35" spans="1:5" ht="13.5" thickBot="1">
      <c r="A35" s="7"/>
      <c r="B35" s="8"/>
      <c r="C35" s="8"/>
      <c r="D35" s="8"/>
      <c r="E35" s="9"/>
    </row>
    <row r="36" spans="1:8" ht="27.75" thickBot="1" thickTop="1">
      <c r="A36" s="7"/>
      <c r="B36" s="31" t="s">
        <v>21</v>
      </c>
      <c r="C36" s="100">
        <f>(E20+E26+E34)/(C20+C26)</f>
        <v>1.4668675747126436</v>
      </c>
      <c r="D36" s="101"/>
      <c r="E36" s="9"/>
      <c r="H36" s="56"/>
    </row>
    <row r="37" spans="1:5" ht="15.75" customHeight="1" thickBot="1" thickTop="1">
      <c r="A37" s="40" t="s">
        <v>41</v>
      </c>
      <c r="B37" s="36"/>
      <c r="C37" s="36"/>
      <c r="D37" s="36"/>
      <c r="E37" s="39"/>
    </row>
    <row r="38" spans="1:5" ht="12.75" customHeight="1" thickTop="1">
      <c r="A38" s="89" t="str">
        <f>Glas_Info</f>
        <v>Glazing: Insulated glass 28 mm (2x LSG 6 mm)
heat transfer coefficient UG: 1
Design of joint:
ψ = 0,051 ( = Warm Edge)</v>
      </c>
      <c r="B38" s="90"/>
      <c r="C38" s="90"/>
      <c r="D38" s="90"/>
      <c r="E38" s="91"/>
    </row>
    <row r="39" spans="1:5" ht="12.75" customHeight="1">
      <c r="A39" s="92"/>
      <c r="B39" s="93"/>
      <c r="C39" s="93"/>
      <c r="D39" s="93"/>
      <c r="E39" s="94"/>
    </row>
    <row r="40" spans="1:5" ht="12.75" customHeight="1">
      <c r="A40" s="92"/>
      <c r="B40" s="93"/>
      <c r="C40" s="93"/>
      <c r="D40" s="93"/>
      <c r="E40" s="94"/>
    </row>
    <row r="41" spans="1:5" ht="12.75" customHeight="1">
      <c r="A41" s="92"/>
      <c r="B41" s="93"/>
      <c r="C41" s="93"/>
      <c r="D41" s="93"/>
      <c r="E41" s="94"/>
    </row>
    <row r="42" spans="1:5" ht="12.75" customHeight="1">
      <c r="A42" s="92"/>
      <c r="B42" s="93"/>
      <c r="C42" s="93"/>
      <c r="D42" s="93"/>
      <c r="E42" s="94"/>
    </row>
    <row r="43" spans="1:5" ht="12.75" customHeight="1">
      <c r="A43" s="92"/>
      <c r="B43" s="93"/>
      <c r="C43" s="93"/>
      <c r="D43" s="93"/>
      <c r="E43" s="94"/>
    </row>
    <row r="44" spans="1:5" ht="12.75" customHeight="1">
      <c r="A44" s="92"/>
      <c r="B44" s="93"/>
      <c r="C44" s="93"/>
      <c r="D44" s="93"/>
      <c r="E44" s="94"/>
    </row>
    <row r="45" spans="1:5" ht="12.75" customHeight="1">
      <c r="A45" s="92"/>
      <c r="B45" s="93"/>
      <c r="C45" s="93"/>
      <c r="D45" s="93"/>
      <c r="E45" s="94"/>
    </row>
    <row r="46" spans="1:5" ht="12.75" customHeight="1">
      <c r="A46" s="92"/>
      <c r="B46" s="93"/>
      <c r="C46" s="93"/>
      <c r="D46" s="93"/>
      <c r="E46" s="94"/>
    </row>
    <row r="47" spans="1:5" ht="12.75" customHeight="1" thickBot="1">
      <c r="A47" s="95"/>
      <c r="B47" s="96"/>
      <c r="C47" s="96"/>
      <c r="D47" s="96"/>
      <c r="E47" s="97"/>
    </row>
    <row r="48" spans="1:5" ht="14.25" thickBot="1" thickTop="1">
      <c r="A48" s="79" t="s">
        <v>15</v>
      </c>
      <c r="B48" s="98" t="s">
        <v>154</v>
      </c>
      <c r="C48" s="99"/>
      <c r="D48" s="51" t="s">
        <v>16</v>
      </c>
      <c r="E48" s="83">
        <f>Rev_Datum</f>
        <v>40690</v>
      </c>
    </row>
  </sheetData>
  <sheetProtection password="C65A" sheet="1" objects="1" scenarios="1" selectLockedCells="1"/>
  <mergeCells count="7">
    <mergeCell ref="B48:C48"/>
    <mergeCell ref="C36:D36"/>
    <mergeCell ref="A38:E47"/>
    <mergeCell ref="A1:E1"/>
    <mergeCell ref="A2:E2"/>
    <mergeCell ref="A3:E3"/>
    <mergeCell ref="A4:A9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r:id="rId2"/>
  <headerFooter alignWithMargins="0">
    <oddFooter>&amp;L&amp;8UD-Tool&amp;R&amp;8gedruckt: &amp;D -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07">
    <pageSetUpPr fitToPage="1"/>
  </sheetPr>
  <dimension ref="A1:H4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A9"/>
    </sheetView>
  </sheetViews>
  <sheetFormatPr defaultColWidth="11.421875" defaultRowHeight="12.75"/>
  <cols>
    <col min="1" max="1" width="31.7109375" style="0" customWidth="1"/>
    <col min="2" max="5" width="11.7109375" style="0" customWidth="1"/>
  </cols>
  <sheetData>
    <row r="1" spans="1:6" ht="23.25">
      <c r="A1" s="102" t="s">
        <v>49</v>
      </c>
      <c r="B1" s="103"/>
      <c r="C1" s="103"/>
      <c r="D1" s="103"/>
      <c r="E1" s="104"/>
      <c r="F1" s="76"/>
    </row>
    <row r="2" spans="1:5" ht="15.75">
      <c r="A2" s="105" t="s">
        <v>17</v>
      </c>
      <c r="B2" s="106"/>
      <c r="C2" s="106"/>
      <c r="D2" s="106"/>
      <c r="E2" s="107"/>
    </row>
    <row r="3" spans="1:5" ht="16.5" thickBot="1">
      <c r="A3" s="108" t="s">
        <v>156</v>
      </c>
      <c r="B3" s="109"/>
      <c r="C3" s="109"/>
      <c r="D3" s="109"/>
      <c r="E3" s="110"/>
    </row>
    <row r="4" spans="1:5" ht="13.5" thickBot="1">
      <c r="A4" s="111"/>
      <c r="B4" s="8"/>
      <c r="C4" s="8"/>
      <c r="D4" s="8"/>
      <c r="E4" s="9"/>
    </row>
    <row r="5" spans="1:5" ht="14.25" thickBot="1" thickTop="1">
      <c r="A5" s="112"/>
      <c r="B5" s="26" t="s">
        <v>20</v>
      </c>
      <c r="C5" s="75">
        <f>B_sel/1000</f>
        <v>5.8</v>
      </c>
      <c r="D5" s="29" t="s">
        <v>12</v>
      </c>
      <c r="E5" s="73">
        <f>UG_sel</f>
        <v>1</v>
      </c>
    </row>
    <row r="6" spans="1:5" ht="17.25" thickBot="1" thickTop="1">
      <c r="A6" s="112"/>
      <c r="B6" s="27" t="s">
        <v>19</v>
      </c>
      <c r="C6" s="75">
        <f>H_sel/1000</f>
        <v>3</v>
      </c>
      <c r="D6" s="30" t="s">
        <v>7</v>
      </c>
      <c r="E6" s="74">
        <f>Psi_sel</f>
        <v>0.051</v>
      </c>
    </row>
    <row r="7" spans="1:5" ht="14.25" thickBot="1" thickTop="1">
      <c r="A7" s="112"/>
      <c r="B7" s="27" t="s">
        <v>112</v>
      </c>
      <c r="C7" s="75">
        <f>LW_sel/1000</f>
        <v>1.1</v>
      </c>
      <c r="D7" s="8"/>
      <c r="E7" s="10"/>
    </row>
    <row r="8" spans="1:5" ht="14.25" thickBot="1" thickTop="1">
      <c r="A8" s="112"/>
      <c r="B8" s="28" t="s">
        <v>18</v>
      </c>
      <c r="C8" s="75">
        <f>LH_sel/1000</f>
        <v>2</v>
      </c>
      <c r="D8" s="8"/>
      <c r="E8" s="9"/>
    </row>
    <row r="9" spans="1:5" ht="12.75">
      <c r="A9" s="113"/>
      <c r="B9" s="8"/>
      <c r="C9" s="8"/>
      <c r="D9" s="8"/>
      <c r="E9" s="9"/>
    </row>
    <row r="10" spans="1:5" ht="15.75">
      <c r="A10" s="5" t="s">
        <v>4</v>
      </c>
      <c r="B10" s="3" t="s">
        <v>0</v>
      </c>
      <c r="C10" s="3" t="s">
        <v>3</v>
      </c>
      <c r="D10" s="3" t="s">
        <v>2</v>
      </c>
      <c r="E10" s="11" t="s">
        <v>10</v>
      </c>
    </row>
    <row r="11" spans="1:5" ht="12.75">
      <c r="A11" s="14" t="s">
        <v>22</v>
      </c>
      <c r="B11" s="15">
        <f>(C8-0.043)*0.069</f>
        <v>0.13503300000000001</v>
      </c>
      <c r="C11" s="16">
        <f>B11*2</f>
        <v>0.27006600000000003</v>
      </c>
      <c r="D11" s="17">
        <v>3.3</v>
      </c>
      <c r="E11" s="18">
        <f aca="true" t="shared" si="0" ref="E11:E19">D11*C11</f>
        <v>0.8912178000000001</v>
      </c>
    </row>
    <row r="12" spans="1:5" ht="12.75">
      <c r="A12" s="14" t="s">
        <v>23</v>
      </c>
      <c r="B12" s="15">
        <f>C5*0.069</f>
        <v>0.4002</v>
      </c>
      <c r="C12" s="16">
        <f>B12</f>
        <v>0.4002</v>
      </c>
      <c r="D12" s="17">
        <v>3.3</v>
      </c>
      <c r="E12" s="18">
        <f t="shared" si="0"/>
        <v>1.32066</v>
      </c>
    </row>
    <row r="13" spans="1:5" ht="12.75">
      <c r="A13" s="14" t="s">
        <v>24</v>
      </c>
      <c r="B13" s="15">
        <f>(C6-C8-0.216)*0.069</f>
        <v>0.054096000000000005</v>
      </c>
      <c r="C13" s="16">
        <f>B13*2</f>
        <v>0.10819200000000001</v>
      </c>
      <c r="D13" s="17">
        <v>3.3</v>
      </c>
      <c r="E13" s="18">
        <f t="shared" si="0"/>
        <v>0.3570336</v>
      </c>
    </row>
    <row r="14" spans="1:5" ht="12.75">
      <c r="A14" s="14" t="s">
        <v>25</v>
      </c>
      <c r="B14" s="15">
        <f>(C8-0.043)*0.104</f>
        <v>0.203528</v>
      </c>
      <c r="C14" s="16">
        <f>B14</f>
        <v>0.203528</v>
      </c>
      <c r="D14" s="17">
        <v>2.9</v>
      </c>
      <c r="E14" s="18">
        <f t="shared" si="0"/>
        <v>0.5902312</v>
      </c>
    </row>
    <row r="15" spans="1:5" ht="12.75">
      <c r="A15" s="14" t="s">
        <v>26</v>
      </c>
      <c r="B15" s="15">
        <f>((C5-C7)/2-0.119)*0.066</f>
        <v>0.147246</v>
      </c>
      <c r="C15" s="16">
        <f>B15*2</f>
        <v>0.294492</v>
      </c>
      <c r="D15" s="17">
        <v>2.9</v>
      </c>
      <c r="E15" s="18">
        <f t="shared" si="0"/>
        <v>0.8540267999999999</v>
      </c>
    </row>
    <row r="16" spans="1:6" ht="12.75">
      <c r="A16" s="14" t="s">
        <v>27</v>
      </c>
      <c r="B16" s="15">
        <f>(C8-0.043)*0.05</f>
        <v>0.09785</v>
      </c>
      <c r="C16" s="16">
        <f>B16*2</f>
        <v>0.1957</v>
      </c>
      <c r="D16" s="17">
        <v>4.1</v>
      </c>
      <c r="E16" s="18">
        <f t="shared" si="0"/>
        <v>0.80237</v>
      </c>
      <c r="F16" t="s">
        <v>13</v>
      </c>
    </row>
    <row r="17" spans="1:5" ht="12.75">
      <c r="A17" s="14" t="s">
        <v>30</v>
      </c>
      <c r="B17" s="15">
        <f>((C5-C7)/2)*0.19</f>
        <v>0.44649999999999995</v>
      </c>
      <c r="C17" s="16">
        <f>B17*2</f>
        <v>0.8929999999999999</v>
      </c>
      <c r="D17" s="17">
        <v>3.1</v>
      </c>
      <c r="E17" s="18">
        <f t="shared" si="0"/>
        <v>2.7683</v>
      </c>
    </row>
    <row r="18" spans="1:5" ht="12.75">
      <c r="A18" s="14" t="s">
        <v>29</v>
      </c>
      <c r="B18" s="15">
        <f>(C7/2-0.052)*0.066</f>
        <v>0.03286800000000001</v>
      </c>
      <c r="C18" s="16">
        <f>B18*2</f>
        <v>0.06573600000000002</v>
      </c>
      <c r="D18" s="17">
        <v>3.4</v>
      </c>
      <c r="E18" s="18">
        <f t="shared" si="0"/>
        <v>0.22350240000000005</v>
      </c>
    </row>
    <row r="19" spans="1:6" ht="12.75">
      <c r="A19" s="14" t="s">
        <v>28</v>
      </c>
      <c r="B19" s="15">
        <f>C7*0.19</f>
        <v>0.20900000000000002</v>
      </c>
      <c r="C19" s="16">
        <f>B19</f>
        <v>0.20900000000000002</v>
      </c>
      <c r="D19" s="17">
        <v>4.8</v>
      </c>
      <c r="E19" s="18">
        <f t="shared" si="0"/>
        <v>1.0032</v>
      </c>
      <c r="F19" t="s">
        <v>13</v>
      </c>
    </row>
    <row r="20" spans="1:5" ht="12.75">
      <c r="A20" s="7"/>
      <c r="B20" s="8"/>
      <c r="C20" s="19">
        <f>SUM(C11:C19)</f>
        <v>2.6399139999999996</v>
      </c>
      <c r="D20" s="8"/>
      <c r="E20" s="20">
        <f>SUM(E11:E19)</f>
        <v>8.8105418</v>
      </c>
    </row>
    <row r="21" spans="1:5" ht="12.75">
      <c r="A21" s="7"/>
      <c r="B21" s="8"/>
      <c r="C21" s="8"/>
      <c r="D21" s="8"/>
      <c r="E21" s="9"/>
    </row>
    <row r="22" spans="1:5" ht="15.75">
      <c r="A22" s="5" t="s">
        <v>5</v>
      </c>
      <c r="B22" s="3" t="s">
        <v>0</v>
      </c>
      <c r="C22" s="3" t="s">
        <v>9</v>
      </c>
      <c r="D22" s="1" t="s">
        <v>12</v>
      </c>
      <c r="E22" s="12" t="s">
        <v>1</v>
      </c>
    </row>
    <row r="23" spans="1:5" ht="12.75">
      <c r="A23" s="14" t="s">
        <v>31</v>
      </c>
      <c r="B23" s="16">
        <f>((C5-0.138)*(C6-C8-0.216))</f>
        <v>4.439008</v>
      </c>
      <c r="C23" s="21">
        <f>B23</f>
        <v>4.439008</v>
      </c>
      <c r="D23" s="16">
        <f>E5</f>
        <v>1</v>
      </c>
      <c r="E23" s="22">
        <f>C23*D23</f>
        <v>4.439008</v>
      </c>
    </row>
    <row r="24" spans="1:5" ht="12.75">
      <c r="A24" s="14" t="s">
        <v>32</v>
      </c>
      <c r="B24" s="16">
        <f>(((C5-C7)/2-0.119)*(C8-0.109))</f>
        <v>4.218821</v>
      </c>
      <c r="C24" s="21">
        <f>B24*2</f>
        <v>8.437642</v>
      </c>
      <c r="D24" s="16">
        <f>E5</f>
        <v>1</v>
      </c>
      <c r="E24" s="22">
        <f>C24*D24</f>
        <v>8.437642</v>
      </c>
    </row>
    <row r="25" spans="1:5" ht="12.75">
      <c r="A25" s="14" t="s">
        <v>33</v>
      </c>
      <c r="B25" s="16">
        <f>((C7/2-0.052)*(C8-0.109))</f>
        <v>0.941718</v>
      </c>
      <c r="C25" s="21">
        <f>B25*2</f>
        <v>1.883436</v>
      </c>
      <c r="D25" s="16">
        <f>E5</f>
        <v>1</v>
      </c>
      <c r="E25" s="22">
        <f>C25*D25</f>
        <v>1.883436</v>
      </c>
    </row>
    <row r="26" spans="1:5" ht="12.75">
      <c r="A26" s="7"/>
      <c r="B26" s="8"/>
      <c r="C26" s="23">
        <f>SUM(C23:C25)</f>
        <v>14.760086000000001</v>
      </c>
      <c r="D26" s="8"/>
      <c r="E26" s="20">
        <f>SUM(E23:E25)</f>
        <v>14.760086000000001</v>
      </c>
    </row>
    <row r="27" spans="1:5" ht="12.75">
      <c r="A27" s="7"/>
      <c r="B27" s="8"/>
      <c r="C27" s="8"/>
      <c r="D27" s="8"/>
      <c r="E27" s="9"/>
    </row>
    <row r="28" spans="1:5" ht="15.75">
      <c r="A28" s="6" t="s">
        <v>34</v>
      </c>
      <c r="B28" s="4" t="s">
        <v>6</v>
      </c>
      <c r="C28" s="3" t="s">
        <v>8</v>
      </c>
      <c r="D28" s="2" t="s">
        <v>7</v>
      </c>
      <c r="E28" s="13" t="s">
        <v>11</v>
      </c>
    </row>
    <row r="29" spans="1:5" ht="12.75">
      <c r="A29" s="14" t="s">
        <v>35</v>
      </c>
      <c r="B29" s="24">
        <f>C5-0.138</f>
        <v>5.662</v>
      </c>
      <c r="C29" s="24">
        <f>B29*2</f>
        <v>11.324</v>
      </c>
      <c r="D29" s="24">
        <f>E6</f>
        <v>0.051</v>
      </c>
      <c r="E29" s="22">
        <f>C29*D29</f>
        <v>0.5775239999999999</v>
      </c>
    </row>
    <row r="30" spans="1:5" ht="12.75">
      <c r="A30" s="14" t="s">
        <v>36</v>
      </c>
      <c r="B30" s="16">
        <f>C6-C8-0.216</f>
        <v>0.784</v>
      </c>
      <c r="C30" s="24">
        <f>B30*2</f>
        <v>1.568</v>
      </c>
      <c r="D30" s="24">
        <f>E6</f>
        <v>0.051</v>
      </c>
      <c r="E30" s="22">
        <f>C30*D30</f>
        <v>0.079968</v>
      </c>
    </row>
    <row r="31" spans="1:5" ht="12.75">
      <c r="A31" s="14" t="s">
        <v>37</v>
      </c>
      <c r="B31" s="24">
        <f>(C5-C7)/2-0.119</f>
        <v>2.231</v>
      </c>
      <c r="C31" s="24">
        <f>B31*4</f>
        <v>8.924</v>
      </c>
      <c r="D31" s="24">
        <f>E6</f>
        <v>0.051</v>
      </c>
      <c r="E31" s="22">
        <f>C31*D31</f>
        <v>0.4551239999999999</v>
      </c>
    </row>
    <row r="32" spans="1:5" ht="12.75">
      <c r="A32" s="14" t="s">
        <v>38</v>
      </c>
      <c r="B32" s="24">
        <f>C7/2-0.052</f>
        <v>0.49800000000000005</v>
      </c>
      <c r="C32" s="24">
        <f>B32*4</f>
        <v>1.9920000000000002</v>
      </c>
      <c r="D32" s="24">
        <f>E6</f>
        <v>0.051</v>
      </c>
      <c r="E32" s="22">
        <f>C32*D32</f>
        <v>0.101592</v>
      </c>
    </row>
    <row r="33" spans="1:5" ht="12.75">
      <c r="A33" s="14" t="s">
        <v>39</v>
      </c>
      <c r="B33" s="16">
        <f>C8-0.109</f>
        <v>1.891</v>
      </c>
      <c r="C33" s="24">
        <f>B33*8</f>
        <v>15.128</v>
      </c>
      <c r="D33" s="24">
        <f>E6</f>
        <v>0.051</v>
      </c>
      <c r="E33" s="22">
        <f>C33*D33</f>
        <v>0.771528</v>
      </c>
    </row>
    <row r="34" spans="1:5" ht="12.75">
      <c r="A34" s="7"/>
      <c r="B34" s="8"/>
      <c r="C34" s="25">
        <f>SUM(C29:C33)</f>
        <v>38.936</v>
      </c>
      <c r="D34" s="8"/>
      <c r="E34" s="20">
        <f>SUM(E29:E33)</f>
        <v>1.9857359999999997</v>
      </c>
    </row>
    <row r="35" spans="1:5" ht="13.5" thickBot="1">
      <c r="A35" s="7"/>
      <c r="B35" s="8"/>
      <c r="C35" s="8"/>
      <c r="D35" s="8"/>
      <c r="E35" s="9"/>
    </row>
    <row r="36" spans="1:8" ht="27.75" thickBot="1" thickTop="1">
      <c r="A36" s="7"/>
      <c r="B36" s="31" t="s">
        <v>21</v>
      </c>
      <c r="C36" s="100">
        <f>(E20+E26+E34)/(C20+C26)</f>
        <v>1.4687565402298848</v>
      </c>
      <c r="D36" s="101"/>
      <c r="E36" s="9"/>
      <c r="H36" s="56"/>
    </row>
    <row r="37" spans="1:5" ht="15.75" customHeight="1" thickBot="1" thickTop="1">
      <c r="A37" s="32" t="s">
        <v>40</v>
      </c>
      <c r="B37" s="33"/>
      <c r="C37" s="33"/>
      <c r="D37" s="33"/>
      <c r="E37" s="34"/>
    </row>
    <row r="38" spans="1:5" ht="12.75" customHeight="1" thickTop="1">
      <c r="A38" s="89" t="str">
        <f>Glas_Info</f>
        <v>Glazing: Insulated glass 28 mm (2x LSG 6 mm)
heat transfer coefficient UG: 1
Design of joint:
ψ = 0,051 ( = Warm Edge)</v>
      </c>
      <c r="B38" s="90"/>
      <c r="C38" s="90"/>
      <c r="D38" s="90"/>
      <c r="E38" s="91"/>
    </row>
    <row r="39" spans="1:5" ht="12.75" customHeight="1">
      <c r="A39" s="92"/>
      <c r="B39" s="93"/>
      <c r="C39" s="93"/>
      <c r="D39" s="93"/>
      <c r="E39" s="94"/>
    </row>
    <row r="40" spans="1:5" ht="12.75" customHeight="1">
      <c r="A40" s="92"/>
      <c r="B40" s="93"/>
      <c r="C40" s="93"/>
      <c r="D40" s="93"/>
      <c r="E40" s="94"/>
    </row>
    <row r="41" spans="1:5" ht="12.75" customHeight="1">
      <c r="A41" s="92"/>
      <c r="B41" s="93"/>
      <c r="C41" s="93"/>
      <c r="D41" s="93"/>
      <c r="E41" s="94"/>
    </row>
    <row r="42" spans="1:5" ht="12.75" customHeight="1">
      <c r="A42" s="92"/>
      <c r="B42" s="93"/>
      <c r="C42" s="93"/>
      <c r="D42" s="93"/>
      <c r="E42" s="94"/>
    </row>
    <row r="43" spans="1:5" ht="12.75" customHeight="1">
      <c r="A43" s="92"/>
      <c r="B43" s="93"/>
      <c r="C43" s="93"/>
      <c r="D43" s="93"/>
      <c r="E43" s="94"/>
    </row>
    <row r="44" spans="1:5" ht="12.75" customHeight="1">
      <c r="A44" s="92"/>
      <c r="B44" s="93"/>
      <c r="C44" s="93"/>
      <c r="D44" s="93"/>
      <c r="E44" s="94"/>
    </row>
    <row r="45" spans="1:5" ht="12.75" customHeight="1">
      <c r="A45" s="92"/>
      <c r="B45" s="93"/>
      <c r="C45" s="93"/>
      <c r="D45" s="93"/>
      <c r="E45" s="94"/>
    </row>
    <row r="46" spans="1:5" ht="12.75" customHeight="1">
      <c r="A46" s="92"/>
      <c r="B46" s="93"/>
      <c r="C46" s="93"/>
      <c r="D46" s="93"/>
      <c r="E46" s="94"/>
    </row>
    <row r="47" spans="1:5" ht="12.75" customHeight="1" thickBot="1">
      <c r="A47" s="95"/>
      <c r="B47" s="96"/>
      <c r="C47" s="96"/>
      <c r="D47" s="96"/>
      <c r="E47" s="97"/>
    </row>
    <row r="48" spans="1:5" ht="14.25" thickBot="1" thickTop="1">
      <c r="A48" s="79" t="s">
        <v>15</v>
      </c>
      <c r="B48" s="98" t="s">
        <v>154</v>
      </c>
      <c r="C48" s="99"/>
      <c r="D48" s="51" t="s">
        <v>16</v>
      </c>
      <c r="E48" s="83">
        <f>Rev_Datum</f>
        <v>40690</v>
      </c>
    </row>
  </sheetData>
  <sheetProtection password="C65A" sheet="1" objects="1" scenarios="1" selectLockedCells="1"/>
  <mergeCells count="7">
    <mergeCell ref="B48:C48"/>
    <mergeCell ref="A1:E1"/>
    <mergeCell ref="A38:E47"/>
    <mergeCell ref="A4:A9"/>
    <mergeCell ref="C36:D36"/>
    <mergeCell ref="A3:E3"/>
    <mergeCell ref="A2:E2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r:id="rId2"/>
  <headerFooter alignWithMargins="0">
    <oddFooter>&amp;L&amp;8UD-Tool&amp;R&amp;8gedruckt: &amp;D - &amp;T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08">
    <pageSetUpPr fitToPage="1"/>
  </sheetPr>
  <dimension ref="A1:M42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31.7109375" style="0" customWidth="1"/>
    <col min="2" max="5" width="11.7109375" style="0" customWidth="1"/>
  </cols>
  <sheetData>
    <row r="1" spans="1:13" ht="23.25">
      <c r="A1" s="102" t="s">
        <v>49</v>
      </c>
      <c r="B1" s="103"/>
      <c r="C1" s="103"/>
      <c r="D1" s="103"/>
      <c r="E1" s="104"/>
      <c r="F1" s="76"/>
      <c r="M1" s="35"/>
    </row>
    <row r="2" spans="1:5" ht="15.75">
      <c r="A2" s="105" t="s">
        <v>151</v>
      </c>
      <c r="B2" s="106"/>
      <c r="C2" s="106"/>
      <c r="D2" s="106"/>
      <c r="E2" s="107"/>
    </row>
    <row r="3" spans="1:5" ht="16.5" thickBot="1">
      <c r="A3" s="108" t="s">
        <v>155</v>
      </c>
      <c r="B3" s="109"/>
      <c r="C3" s="109"/>
      <c r="D3" s="109"/>
      <c r="E3" s="110"/>
    </row>
    <row r="4" spans="1:5" ht="14.25" customHeight="1" thickBot="1">
      <c r="A4" s="111"/>
      <c r="B4" s="8"/>
      <c r="C4" s="8"/>
      <c r="D4" s="8"/>
      <c r="E4" s="9"/>
    </row>
    <row r="5" spans="1:5" ht="14.25" customHeight="1" thickBot="1" thickTop="1">
      <c r="A5" s="112"/>
      <c r="B5" s="27" t="s">
        <v>112</v>
      </c>
      <c r="C5" s="72">
        <f>LW_sel/1000</f>
        <v>1.1</v>
      </c>
      <c r="D5" s="37" t="s">
        <v>12</v>
      </c>
      <c r="E5" s="73">
        <f>UG_sel</f>
        <v>1</v>
      </c>
    </row>
    <row r="6" spans="1:5" ht="14.25" customHeight="1" thickBot="1" thickTop="1">
      <c r="A6" s="112"/>
      <c r="B6" s="28" t="s">
        <v>18</v>
      </c>
      <c r="C6" s="72">
        <f>LH_sel/1000</f>
        <v>2</v>
      </c>
      <c r="D6" s="38" t="s">
        <v>7</v>
      </c>
      <c r="E6" s="74">
        <f>Psi_sel</f>
        <v>0.051</v>
      </c>
    </row>
    <row r="7" spans="1:5" ht="14.25" customHeight="1">
      <c r="A7" s="112"/>
      <c r="B7" s="35"/>
      <c r="C7" s="35"/>
      <c r="D7" s="8"/>
      <c r="E7" s="9"/>
    </row>
    <row r="8" spans="1:5" ht="14.25" customHeight="1">
      <c r="A8" s="112"/>
      <c r="B8" s="8"/>
      <c r="C8" s="8"/>
      <c r="D8" s="8"/>
      <c r="E8" s="9"/>
    </row>
    <row r="9" spans="1:5" ht="14.25" customHeight="1">
      <c r="A9" s="113"/>
      <c r="B9" s="8"/>
      <c r="C9" s="8"/>
      <c r="D9" s="8"/>
      <c r="E9" s="9"/>
    </row>
    <row r="10" spans="1:5" ht="15.75">
      <c r="A10" s="5" t="s">
        <v>4</v>
      </c>
      <c r="B10" s="3" t="s">
        <v>0</v>
      </c>
      <c r="C10" s="3" t="s">
        <v>3</v>
      </c>
      <c r="D10" s="3" t="s">
        <v>2</v>
      </c>
      <c r="E10" s="11" t="s">
        <v>10</v>
      </c>
    </row>
    <row r="11" spans="1:5" ht="12.75">
      <c r="A11" s="14" t="s">
        <v>25</v>
      </c>
      <c r="B11" s="16">
        <f>(C6-0.043)*0.12</f>
        <v>0.23484</v>
      </c>
      <c r="C11" s="16">
        <f>B11</f>
        <v>0.23484</v>
      </c>
      <c r="D11" s="17">
        <v>2.9</v>
      </c>
      <c r="E11" s="18">
        <f>D11*C11</f>
        <v>0.681036</v>
      </c>
    </row>
    <row r="12" spans="1:6" ht="12.75">
      <c r="A12" s="14" t="s">
        <v>46</v>
      </c>
      <c r="B12" s="16">
        <f>(C6-0.043)*0.05</f>
        <v>0.09785</v>
      </c>
      <c r="C12" s="16">
        <f>B12</f>
        <v>0.09785</v>
      </c>
      <c r="D12" s="17">
        <v>2.9</v>
      </c>
      <c r="E12" s="18">
        <f>D12*C12</f>
        <v>0.283765</v>
      </c>
      <c r="F12" t="s">
        <v>13</v>
      </c>
    </row>
    <row r="13" spans="1:5" ht="12.75">
      <c r="A13" s="14" t="s">
        <v>29</v>
      </c>
      <c r="B13" s="16">
        <f>(C5-0.052)*0.066</f>
        <v>0.06916800000000001</v>
      </c>
      <c r="C13" s="16">
        <f>B13</f>
        <v>0.06916800000000001</v>
      </c>
      <c r="D13" s="17">
        <v>2.9</v>
      </c>
      <c r="E13" s="18">
        <f>D13*C13</f>
        <v>0.20058720000000002</v>
      </c>
    </row>
    <row r="14" spans="1:6" ht="12.75">
      <c r="A14" s="14" t="s">
        <v>47</v>
      </c>
      <c r="B14" s="16">
        <f>(C5+0.118)*0.147</f>
        <v>0.17904599999999998</v>
      </c>
      <c r="C14" s="16">
        <f>B14</f>
        <v>0.17904599999999998</v>
      </c>
      <c r="D14" s="17">
        <v>2.9</v>
      </c>
      <c r="E14" s="18">
        <f>D14*C14</f>
        <v>0.5192334</v>
      </c>
      <c r="F14" t="s">
        <v>13</v>
      </c>
    </row>
    <row r="15" spans="1:5" ht="12.75">
      <c r="A15" s="7"/>
      <c r="B15" s="8"/>
      <c r="C15" s="19">
        <f>SUM(C11:C14)</f>
        <v>0.580904</v>
      </c>
      <c r="D15" s="8"/>
      <c r="E15" s="20">
        <f>SUM(E11:E14)</f>
        <v>1.6846215999999998</v>
      </c>
    </row>
    <row r="16" spans="1:5" ht="12.75">
      <c r="A16" s="7"/>
      <c r="B16" s="8"/>
      <c r="C16" s="41"/>
      <c r="D16" s="8"/>
      <c r="E16" s="46"/>
    </row>
    <row r="17" spans="1:5" ht="15.75">
      <c r="A17" s="5" t="s">
        <v>5</v>
      </c>
      <c r="B17" s="3" t="s">
        <v>0</v>
      </c>
      <c r="C17" s="42" t="s">
        <v>9</v>
      </c>
      <c r="D17" s="1" t="s">
        <v>12</v>
      </c>
      <c r="E17" s="47" t="s">
        <v>1</v>
      </c>
    </row>
    <row r="18" spans="1:5" ht="12.75">
      <c r="A18" s="14" t="s">
        <v>33</v>
      </c>
      <c r="B18" s="16">
        <f>(C5-0.052)*(C6-0.109)</f>
        <v>1.9817680000000002</v>
      </c>
      <c r="C18" s="21">
        <f>B18</f>
        <v>1.9817680000000002</v>
      </c>
      <c r="D18" s="16">
        <f>E5</f>
        <v>1</v>
      </c>
      <c r="E18" s="22">
        <f>C18*D18</f>
        <v>1.9817680000000002</v>
      </c>
    </row>
    <row r="19" spans="1:5" ht="12.75">
      <c r="A19" s="7"/>
      <c r="B19" s="8"/>
      <c r="C19" s="23">
        <f>SUM(C18:C18)</f>
        <v>1.9817680000000002</v>
      </c>
      <c r="D19" s="8"/>
      <c r="E19" s="20">
        <f>SUM(E18:E18)</f>
        <v>1.9817680000000002</v>
      </c>
    </row>
    <row r="20" spans="1:5" ht="12.75">
      <c r="A20" s="7"/>
      <c r="B20" s="8"/>
      <c r="C20" s="41"/>
      <c r="D20" s="8"/>
      <c r="E20" s="46"/>
    </row>
    <row r="21" spans="1:5" ht="15.75">
      <c r="A21" s="6" t="s">
        <v>34</v>
      </c>
      <c r="B21" s="4" t="s">
        <v>6</v>
      </c>
      <c r="C21" s="42" t="s">
        <v>8</v>
      </c>
      <c r="D21" s="2" t="s">
        <v>7</v>
      </c>
      <c r="E21" s="48" t="s">
        <v>11</v>
      </c>
    </row>
    <row r="22" spans="1:5" ht="12.75">
      <c r="A22" s="14" t="s">
        <v>38</v>
      </c>
      <c r="B22" s="16">
        <f>C5-0.052</f>
        <v>1.048</v>
      </c>
      <c r="C22" s="16">
        <f>B22*2</f>
        <v>2.096</v>
      </c>
      <c r="D22" s="24">
        <f>E6</f>
        <v>0.051</v>
      </c>
      <c r="E22" s="22">
        <f>C22*D22</f>
        <v>0.10689599999999999</v>
      </c>
    </row>
    <row r="23" spans="1:5" ht="12.75">
      <c r="A23" s="14" t="s">
        <v>48</v>
      </c>
      <c r="B23" s="16">
        <f>C6-0.109</f>
        <v>1.891</v>
      </c>
      <c r="C23" s="16">
        <f>B23*2</f>
        <v>3.782</v>
      </c>
      <c r="D23" s="24">
        <f>E6</f>
        <v>0.051</v>
      </c>
      <c r="E23" s="22">
        <f>C23*D23</f>
        <v>0.192882</v>
      </c>
    </row>
    <row r="24" spans="1:5" ht="12.75">
      <c r="A24" s="7"/>
      <c r="B24" s="8"/>
      <c r="C24" s="19">
        <f>SUM(C22:C23)</f>
        <v>5.878</v>
      </c>
      <c r="D24" s="8"/>
      <c r="E24" s="20">
        <f>SUM(E22:E23)</f>
        <v>0.299778</v>
      </c>
    </row>
    <row r="25" spans="1:5" ht="13.5" thickBot="1">
      <c r="A25" s="7"/>
      <c r="B25" s="8"/>
      <c r="C25" s="49"/>
      <c r="D25" s="8"/>
      <c r="E25" s="50"/>
    </row>
    <row r="26" spans="1:5" ht="27.75" thickBot="1" thickTop="1">
      <c r="A26" s="7"/>
      <c r="B26" s="31" t="s">
        <v>21</v>
      </c>
      <c r="C26" s="100">
        <f>(E15+E19+E24)/(C15+C19)</f>
        <v>1.5476688393988773</v>
      </c>
      <c r="D26" s="101"/>
      <c r="E26" s="9"/>
    </row>
    <row r="27" spans="1:5" ht="24" thickTop="1">
      <c r="A27" s="7"/>
      <c r="B27" s="43"/>
      <c r="C27" s="53"/>
      <c r="D27" s="53"/>
      <c r="E27" s="9"/>
    </row>
    <row r="28" spans="1:5" ht="16.5" customHeight="1">
      <c r="A28" s="7"/>
      <c r="B28" s="43"/>
      <c r="C28" s="53"/>
      <c r="D28" s="53"/>
      <c r="E28" s="9"/>
    </row>
    <row r="29" spans="1:5" ht="23.25">
      <c r="A29" s="7"/>
      <c r="B29" s="43"/>
      <c r="C29" s="53"/>
      <c r="D29" s="53"/>
      <c r="E29" s="9"/>
    </row>
    <row r="30" spans="1:5" ht="23.25">
      <c r="A30" s="7"/>
      <c r="B30" s="43"/>
      <c r="C30" s="53" t="s">
        <v>13</v>
      </c>
      <c r="D30" s="53"/>
      <c r="E30" s="9"/>
    </row>
    <row r="31" spans="1:5" ht="16.5" thickBot="1">
      <c r="A31" s="45" t="s">
        <v>41</v>
      </c>
      <c r="B31" s="8"/>
      <c r="C31" s="8"/>
      <c r="D31" s="8"/>
      <c r="E31" s="9"/>
    </row>
    <row r="32" spans="1:5" ht="12.75" customHeight="1" thickTop="1">
      <c r="A32" s="89" t="str">
        <f>Glas_Info</f>
        <v>Glazing: Insulated glass 28 mm (2x LSG 6 mm)
heat transfer coefficient UG: 1
Design of joint:
ψ = 0,051 ( = Warm Edge)</v>
      </c>
      <c r="B32" s="90"/>
      <c r="C32" s="90"/>
      <c r="D32" s="90"/>
      <c r="E32" s="91"/>
    </row>
    <row r="33" spans="1:5" ht="12.75" customHeight="1">
      <c r="A33" s="92"/>
      <c r="B33" s="93"/>
      <c r="C33" s="93"/>
      <c r="D33" s="93"/>
      <c r="E33" s="94"/>
    </row>
    <row r="34" spans="1:5" ht="12.75" customHeight="1">
      <c r="A34" s="92"/>
      <c r="B34" s="93"/>
      <c r="C34" s="93"/>
      <c r="D34" s="93"/>
      <c r="E34" s="94"/>
    </row>
    <row r="35" spans="1:5" ht="12.75" customHeight="1">
      <c r="A35" s="92"/>
      <c r="B35" s="93"/>
      <c r="C35" s="93"/>
      <c r="D35" s="93"/>
      <c r="E35" s="94"/>
    </row>
    <row r="36" spans="1:5" ht="12.75" customHeight="1">
      <c r="A36" s="92"/>
      <c r="B36" s="93"/>
      <c r="C36" s="93"/>
      <c r="D36" s="93"/>
      <c r="E36" s="94"/>
    </row>
    <row r="37" spans="1:5" ht="12.75" customHeight="1">
      <c r="A37" s="92"/>
      <c r="B37" s="93"/>
      <c r="C37" s="93"/>
      <c r="D37" s="93"/>
      <c r="E37" s="94"/>
    </row>
    <row r="38" spans="1:5" ht="12.75" customHeight="1">
      <c r="A38" s="92"/>
      <c r="B38" s="93"/>
      <c r="C38" s="93"/>
      <c r="D38" s="93"/>
      <c r="E38" s="94"/>
    </row>
    <row r="39" spans="1:5" ht="12.75" customHeight="1">
      <c r="A39" s="92"/>
      <c r="B39" s="93"/>
      <c r="C39" s="93"/>
      <c r="D39" s="93"/>
      <c r="E39" s="94"/>
    </row>
    <row r="40" spans="1:5" ht="12.75" customHeight="1">
      <c r="A40" s="92"/>
      <c r="B40" s="93"/>
      <c r="C40" s="93"/>
      <c r="D40" s="93"/>
      <c r="E40" s="94"/>
    </row>
    <row r="41" spans="1:5" ht="12.75" customHeight="1" thickBot="1">
      <c r="A41" s="95"/>
      <c r="B41" s="96"/>
      <c r="C41" s="96"/>
      <c r="D41" s="96"/>
      <c r="E41" s="97"/>
    </row>
    <row r="42" spans="1:5" ht="14.25" thickBot="1" thickTop="1">
      <c r="A42" s="78" t="s">
        <v>15</v>
      </c>
      <c r="B42" s="98" t="s">
        <v>154</v>
      </c>
      <c r="C42" s="99"/>
      <c r="D42" s="52" t="s">
        <v>16</v>
      </c>
      <c r="E42" s="83">
        <f>Rev_Datum</f>
        <v>40690</v>
      </c>
    </row>
  </sheetData>
  <sheetProtection password="C65A" sheet="1" objects="1" scenarios="1" selectLockedCells="1"/>
  <mergeCells count="7">
    <mergeCell ref="A32:E41"/>
    <mergeCell ref="B42:C42"/>
    <mergeCell ref="C26:D26"/>
    <mergeCell ref="A1:E1"/>
    <mergeCell ref="A2:E2"/>
    <mergeCell ref="A3:E3"/>
    <mergeCell ref="A4:A9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r:id="rId2"/>
  <headerFooter alignWithMargins="0">
    <oddFooter>&amp;L&amp;8UD-Tool&amp;R&amp;8gedruckt: &amp;D - &amp;T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09">
    <pageSetUpPr fitToPage="1"/>
  </sheetPr>
  <dimension ref="A1:M42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31.7109375" style="0" customWidth="1"/>
    <col min="2" max="5" width="11.7109375" style="0" customWidth="1"/>
  </cols>
  <sheetData>
    <row r="1" spans="1:13" ht="23.25">
      <c r="A1" s="102" t="s">
        <v>49</v>
      </c>
      <c r="B1" s="103"/>
      <c r="C1" s="103"/>
      <c r="D1" s="103"/>
      <c r="E1" s="104"/>
      <c r="F1" s="76"/>
      <c r="M1" s="35"/>
    </row>
    <row r="2" spans="1:5" ht="15.75">
      <c r="A2" s="105" t="s">
        <v>151</v>
      </c>
      <c r="B2" s="106"/>
      <c r="C2" s="106"/>
      <c r="D2" s="106"/>
      <c r="E2" s="107"/>
    </row>
    <row r="3" spans="1:5" ht="16.5" thickBot="1">
      <c r="A3" s="108" t="s">
        <v>156</v>
      </c>
      <c r="B3" s="109"/>
      <c r="C3" s="109"/>
      <c r="D3" s="109"/>
      <c r="E3" s="110"/>
    </row>
    <row r="4" spans="1:5" ht="14.25" customHeight="1" thickBot="1">
      <c r="A4" s="111"/>
      <c r="B4" s="8"/>
      <c r="C4" s="8"/>
      <c r="D4" s="8"/>
      <c r="E4" s="9"/>
    </row>
    <row r="5" spans="1:5" ht="14.25" customHeight="1" thickBot="1" thickTop="1">
      <c r="A5" s="112"/>
      <c r="B5" s="27" t="s">
        <v>112</v>
      </c>
      <c r="C5" s="72">
        <f>LW_sel/1000</f>
        <v>1.1</v>
      </c>
      <c r="D5" s="37" t="s">
        <v>12</v>
      </c>
      <c r="E5" s="73">
        <f>UG_sel</f>
        <v>1</v>
      </c>
    </row>
    <row r="6" spans="1:5" ht="14.25" customHeight="1" thickBot="1" thickTop="1">
      <c r="A6" s="112"/>
      <c r="B6" s="28" t="s">
        <v>18</v>
      </c>
      <c r="C6" s="72">
        <f>LH_sel/1000</f>
        <v>2</v>
      </c>
      <c r="D6" s="38" t="s">
        <v>7</v>
      </c>
      <c r="E6" s="74">
        <f>Psi_sel</f>
        <v>0.051</v>
      </c>
    </row>
    <row r="7" spans="1:5" ht="14.25" customHeight="1">
      <c r="A7" s="112"/>
      <c r="B7" s="35"/>
      <c r="C7" s="35"/>
      <c r="D7" s="8"/>
      <c r="E7" s="9"/>
    </row>
    <row r="8" spans="1:5" ht="14.25" customHeight="1">
      <c r="A8" s="112"/>
      <c r="B8" s="8"/>
      <c r="C8" s="8"/>
      <c r="D8" s="8"/>
      <c r="E8" s="9"/>
    </row>
    <row r="9" spans="1:5" ht="14.25" customHeight="1">
      <c r="A9" s="113"/>
      <c r="B9" s="8"/>
      <c r="C9" s="8"/>
      <c r="D9" s="8"/>
      <c r="E9" s="9"/>
    </row>
    <row r="10" spans="1:5" ht="15.75">
      <c r="A10" s="5" t="s">
        <v>4</v>
      </c>
      <c r="B10" s="3" t="s">
        <v>0</v>
      </c>
      <c r="C10" s="3" t="s">
        <v>3</v>
      </c>
      <c r="D10" s="3" t="s">
        <v>2</v>
      </c>
      <c r="E10" s="11" t="s">
        <v>10</v>
      </c>
    </row>
    <row r="11" spans="1:5" ht="12.75">
      <c r="A11" s="14" t="s">
        <v>25</v>
      </c>
      <c r="B11" s="16">
        <f>(C6-0.043)*0.12</f>
        <v>0.23484</v>
      </c>
      <c r="C11" s="16">
        <f>B11</f>
        <v>0.23484</v>
      </c>
      <c r="D11" s="17">
        <v>2.9</v>
      </c>
      <c r="E11" s="18">
        <f>D11*C11</f>
        <v>0.681036</v>
      </c>
    </row>
    <row r="12" spans="1:6" ht="12.75">
      <c r="A12" s="14" t="s">
        <v>46</v>
      </c>
      <c r="B12" s="16">
        <f>(C6-0.043)*0.05</f>
        <v>0.09785</v>
      </c>
      <c r="C12" s="16">
        <f>B12</f>
        <v>0.09785</v>
      </c>
      <c r="D12" s="17">
        <v>2.9</v>
      </c>
      <c r="E12" s="18">
        <f>D12*C12</f>
        <v>0.283765</v>
      </c>
      <c r="F12" t="s">
        <v>13</v>
      </c>
    </row>
    <row r="13" spans="1:5" ht="12.75">
      <c r="A13" s="14" t="s">
        <v>29</v>
      </c>
      <c r="B13" s="16">
        <f>(C5-0.052)*0.066</f>
        <v>0.06916800000000001</v>
      </c>
      <c r="C13" s="16">
        <f>B13</f>
        <v>0.06916800000000001</v>
      </c>
      <c r="D13" s="17">
        <v>3.4</v>
      </c>
      <c r="E13" s="18">
        <f>D13*C13</f>
        <v>0.23517120000000002</v>
      </c>
    </row>
    <row r="14" spans="1:6" ht="12.75">
      <c r="A14" s="14" t="s">
        <v>47</v>
      </c>
      <c r="B14" s="16">
        <f>(C5+0.118)*0.147</f>
        <v>0.17904599999999998</v>
      </c>
      <c r="C14" s="16">
        <f>B14</f>
        <v>0.17904599999999998</v>
      </c>
      <c r="D14" s="17">
        <v>2.9</v>
      </c>
      <c r="E14" s="18">
        <f>D14*C14</f>
        <v>0.5192334</v>
      </c>
      <c r="F14" t="s">
        <v>13</v>
      </c>
    </row>
    <row r="15" spans="1:5" ht="12.75">
      <c r="A15" s="7"/>
      <c r="B15" s="8"/>
      <c r="C15" s="19">
        <f>SUM(C11:C14)</f>
        <v>0.580904</v>
      </c>
      <c r="D15" s="8"/>
      <c r="E15" s="20">
        <f>SUM(E11:E14)</f>
        <v>1.7192056</v>
      </c>
    </row>
    <row r="16" spans="1:5" ht="12.75">
      <c r="A16" s="7"/>
      <c r="B16" s="8"/>
      <c r="C16" s="41"/>
      <c r="D16" s="8"/>
      <c r="E16" s="46"/>
    </row>
    <row r="17" spans="1:5" ht="15.75">
      <c r="A17" s="5" t="s">
        <v>5</v>
      </c>
      <c r="B17" s="3" t="s">
        <v>0</v>
      </c>
      <c r="C17" s="42" t="s">
        <v>9</v>
      </c>
      <c r="D17" s="1" t="s">
        <v>12</v>
      </c>
      <c r="E17" s="47" t="s">
        <v>1</v>
      </c>
    </row>
    <row r="18" spans="1:5" ht="12.75">
      <c r="A18" s="14" t="s">
        <v>33</v>
      </c>
      <c r="B18" s="16">
        <f>(C5-0.052)*(C6-0.109)</f>
        <v>1.9817680000000002</v>
      </c>
      <c r="C18" s="21">
        <f>B18</f>
        <v>1.9817680000000002</v>
      </c>
      <c r="D18" s="16">
        <f>E5</f>
        <v>1</v>
      </c>
      <c r="E18" s="22">
        <f>C18*D18</f>
        <v>1.9817680000000002</v>
      </c>
    </row>
    <row r="19" spans="1:5" ht="12.75">
      <c r="A19" s="7"/>
      <c r="B19" s="8"/>
      <c r="C19" s="23">
        <f>SUM(C18:C18)</f>
        <v>1.9817680000000002</v>
      </c>
      <c r="D19" s="8"/>
      <c r="E19" s="20">
        <f>SUM(E18:E18)</f>
        <v>1.9817680000000002</v>
      </c>
    </row>
    <row r="20" spans="1:5" ht="12.75">
      <c r="A20" s="7"/>
      <c r="B20" s="8"/>
      <c r="C20" s="41"/>
      <c r="D20" s="8"/>
      <c r="E20" s="46"/>
    </row>
    <row r="21" spans="1:5" ht="15.75">
      <c r="A21" s="6" t="s">
        <v>34</v>
      </c>
      <c r="B21" s="4" t="s">
        <v>6</v>
      </c>
      <c r="C21" s="42" t="s">
        <v>8</v>
      </c>
      <c r="D21" s="2" t="s">
        <v>7</v>
      </c>
      <c r="E21" s="48" t="s">
        <v>11</v>
      </c>
    </row>
    <row r="22" spans="1:5" ht="12.75">
      <c r="A22" s="14" t="s">
        <v>38</v>
      </c>
      <c r="B22" s="16">
        <f>C5-0.052</f>
        <v>1.048</v>
      </c>
      <c r="C22" s="16">
        <f>B22*2</f>
        <v>2.096</v>
      </c>
      <c r="D22" s="24">
        <f>E6</f>
        <v>0.051</v>
      </c>
      <c r="E22" s="22">
        <f>C22*D22</f>
        <v>0.10689599999999999</v>
      </c>
    </row>
    <row r="23" spans="1:5" ht="12.75">
      <c r="A23" s="14" t="s">
        <v>48</v>
      </c>
      <c r="B23" s="16">
        <f>C6-0.109</f>
        <v>1.891</v>
      </c>
      <c r="C23" s="16">
        <f>B23*2</f>
        <v>3.782</v>
      </c>
      <c r="D23" s="24">
        <f>E6</f>
        <v>0.051</v>
      </c>
      <c r="E23" s="22">
        <f>C23*D23</f>
        <v>0.192882</v>
      </c>
    </row>
    <row r="24" spans="1:5" ht="12.75">
      <c r="A24" s="7"/>
      <c r="B24" s="8"/>
      <c r="C24" s="19">
        <f>SUM(C22:C23)</f>
        <v>5.878</v>
      </c>
      <c r="D24" s="8"/>
      <c r="E24" s="20">
        <f>SUM(E22:E23)</f>
        <v>0.299778</v>
      </c>
    </row>
    <row r="25" spans="1:5" ht="13.5" thickBot="1">
      <c r="A25" s="7"/>
      <c r="B25" s="8"/>
      <c r="C25" s="49"/>
      <c r="D25" s="8"/>
      <c r="E25" s="50"/>
    </row>
    <row r="26" spans="1:5" ht="27.75" thickBot="1" thickTop="1">
      <c r="A26" s="7"/>
      <c r="B26" s="31" t="s">
        <v>21</v>
      </c>
      <c r="C26" s="100">
        <f>(E15+E19+E24)/(C15+C19)</f>
        <v>1.561164128690679</v>
      </c>
      <c r="D26" s="101"/>
      <c r="E26" s="9"/>
    </row>
    <row r="27" spans="1:5" ht="24" thickTop="1">
      <c r="A27" s="7"/>
      <c r="B27" s="43"/>
      <c r="C27" s="53"/>
      <c r="D27" s="53"/>
      <c r="E27" s="9"/>
    </row>
    <row r="28" spans="1:5" ht="16.5" customHeight="1">
      <c r="A28" s="7"/>
      <c r="B28" s="43"/>
      <c r="C28" s="53"/>
      <c r="D28" s="53"/>
      <c r="E28" s="9"/>
    </row>
    <row r="29" spans="1:5" ht="23.25">
      <c r="A29" s="7"/>
      <c r="B29" s="43"/>
      <c r="C29" s="53"/>
      <c r="D29" s="53"/>
      <c r="E29" s="9"/>
    </row>
    <row r="30" spans="1:5" ht="23.25">
      <c r="A30" s="7"/>
      <c r="B30" s="43"/>
      <c r="C30" s="53" t="s">
        <v>13</v>
      </c>
      <c r="D30" s="53"/>
      <c r="E30" s="9"/>
    </row>
    <row r="31" spans="1:5" ht="16.5" thickBot="1">
      <c r="A31" s="45" t="s">
        <v>41</v>
      </c>
      <c r="B31" s="8"/>
      <c r="C31" s="8"/>
      <c r="D31" s="8"/>
      <c r="E31" s="9"/>
    </row>
    <row r="32" spans="1:5" ht="12.75" customHeight="1" thickTop="1">
      <c r="A32" s="89" t="str">
        <f>Glas_Info</f>
        <v>Glazing: Insulated glass 28 mm (2x LSG 6 mm)
heat transfer coefficient UG: 1
Design of joint:
ψ = 0,051 ( = Warm Edge)</v>
      </c>
      <c r="B32" s="90"/>
      <c r="C32" s="90"/>
      <c r="D32" s="90"/>
      <c r="E32" s="91"/>
    </row>
    <row r="33" spans="1:5" ht="12.75" customHeight="1">
      <c r="A33" s="92"/>
      <c r="B33" s="93"/>
      <c r="C33" s="93"/>
      <c r="D33" s="93"/>
      <c r="E33" s="94"/>
    </row>
    <row r="34" spans="1:5" ht="12.75" customHeight="1">
      <c r="A34" s="92"/>
      <c r="B34" s="93"/>
      <c r="C34" s="93"/>
      <c r="D34" s="93"/>
      <c r="E34" s="94"/>
    </row>
    <row r="35" spans="1:5" ht="12.75" customHeight="1">
      <c r="A35" s="92"/>
      <c r="B35" s="93"/>
      <c r="C35" s="93"/>
      <c r="D35" s="93"/>
      <c r="E35" s="94"/>
    </row>
    <row r="36" spans="1:5" ht="12.75" customHeight="1">
      <c r="A36" s="92"/>
      <c r="B36" s="93"/>
      <c r="C36" s="93"/>
      <c r="D36" s="93"/>
      <c r="E36" s="94"/>
    </row>
    <row r="37" spans="1:5" ht="12.75" customHeight="1">
      <c r="A37" s="92"/>
      <c r="B37" s="93"/>
      <c r="C37" s="93"/>
      <c r="D37" s="93"/>
      <c r="E37" s="94"/>
    </row>
    <row r="38" spans="1:5" ht="12.75" customHeight="1">
      <c r="A38" s="92"/>
      <c r="B38" s="93"/>
      <c r="C38" s="93"/>
      <c r="D38" s="93"/>
      <c r="E38" s="94"/>
    </row>
    <row r="39" spans="1:5" ht="12.75" customHeight="1">
      <c r="A39" s="92"/>
      <c r="B39" s="93"/>
      <c r="C39" s="93"/>
      <c r="D39" s="93"/>
      <c r="E39" s="94"/>
    </row>
    <row r="40" spans="1:5" ht="12.75" customHeight="1">
      <c r="A40" s="92"/>
      <c r="B40" s="93"/>
      <c r="C40" s="93"/>
      <c r="D40" s="93"/>
      <c r="E40" s="94"/>
    </row>
    <row r="41" spans="1:5" ht="12.75" customHeight="1" thickBot="1">
      <c r="A41" s="95"/>
      <c r="B41" s="96"/>
      <c r="C41" s="96"/>
      <c r="D41" s="96"/>
      <c r="E41" s="97"/>
    </row>
    <row r="42" spans="1:5" ht="14.25" thickBot="1" thickTop="1">
      <c r="A42" s="78" t="s">
        <v>15</v>
      </c>
      <c r="B42" s="98" t="s">
        <v>154</v>
      </c>
      <c r="C42" s="99"/>
      <c r="D42" s="52" t="s">
        <v>16</v>
      </c>
      <c r="E42" s="83">
        <f>Rev_Datum</f>
        <v>40690</v>
      </c>
    </row>
  </sheetData>
  <sheetProtection password="C65A" sheet="1" objects="1" scenarios="1" selectLockedCells="1"/>
  <mergeCells count="7">
    <mergeCell ref="A32:E41"/>
    <mergeCell ref="B42:C42"/>
    <mergeCell ref="C26:D26"/>
    <mergeCell ref="A1:E1"/>
    <mergeCell ref="A2:E2"/>
    <mergeCell ref="A3:E3"/>
    <mergeCell ref="A4:A9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r:id="rId2"/>
  <headerFooter alignWithMargins="0">
    <oddFooter>&amp;L&amp;8UD-Tool&amp;R&amp;8gedruckt: &amp;D -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 Catherine</dc:creator>
  <cp:keywords/>
  <dc:description/>
  <cp:lastModifiedBy>Frederic Catherine</cp:lastModifiedBy>
  <cp:lastPrinted>2011-05-27T07:26:26Z</cp:lastPrinted>
  <dcterms:created xsi:type="dcterms:W3CDTF">2009-09-15T09:28:21Z</dcterms:created>
  <dcterms:modified xsi:type="dcterms:W3CDTF">2013-02-04T17:20:42Z</dcterms:modified>
  <cp:category/>
  <cp:version/>
  <cp:contentType/>
  <cp:contentStatus/>
</cp:coreProperties>
</file>